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t\Documents\Time Attack\2023\Brands Hatch\Results\"/>
    </mc:Choice>
  </mc:AlternateContent>
  <xr:revisionPtr revIDLastSave="0" documentId="8_{6C3BB059-F0F1-4A83-BA88-6F2B2E4E6DBE}" xr6:coauthVersionLast="47" xr6:coauthVersionMax="47" xr10:uidLastSave="{00000000-0000-0000-0000-000000000000}"/>
  <bookViews>
    <workbookView xWindow="-108" yWindow="-108" windowWidth="23256" windowHeight="12456" firstSheet="8" activeTab="13" xr2:uid="{BC7AC9D7-21AB-4038-B236-A3DB7533EE3C}"/>
  </bookViews>
  <sheets>
    <sheet name="Entry" sheetId="1" r:id="rId1"/>
    <sheet name="Championship" sheetId="26" r:id="rId2"/>
    <sheet name="Round 1" sheetId="2" r:id="rId3"/>
    <sheet name="Round 1 Finals" sheetId="3" r:id="rId4"/>
    <sheet name="Round 1 Print" sheetId="4" r:id="rId5"/>
    <sheet name="Round 2" sheetId="5" r:id="rId6"/>
    <sheet name="Round 2 Finals" sheetId="6" r:id="rId7"/>
    <sheet name="Round 2 Print" sheetId="7" r:id="rId8"/>
    <sheet name="Round 3" sheetId="8" r:id="rId9"/>
    <sheet name="Round 3 Finals" sheetId="9" r:id="rId10"/>
    <sheet name="Round 3 Print" sheetId="10" r:id="rId11"/>
    <sheet name="Round 4" sheetId="11" r:id="rId12"/>
    <sheet name="Round 4 Finals" sheetId="12" r:id="rId13"/>
    <sheet name="Round 4 Print" sheetId="13" r:id="rId14"/>
    <sheet name="Round 5" sheetId="14" r:id="rId15"/>
    <sheet name="Round 5 Finals" sheetId="15" r:id="rId16"/>
    <sheet name="Round 5 Print" sheetId="16" r:id="rId17"/>
    <sheet name="Round 6" sheetId="17" r:id="rId18"/>
    <sheet name="Round 6 Finals" sheetId="18" r:id="rId19"/>
    <sheet name="Round 6 Print" sheetId="19" r:id="rId20"/>
    <sheet name="Round 7" sheetId="20" r:id="rId21"/>
    <sheet name="Round 7 Finals" sheetId="21" r:id="rId22"/>
    <sheet name="Round 7 Print" sheetId="22" r:id="rId23"/>
    <sheet name="Round 8" sheetId="23" r:id="rId24"/>
    <sheet name="Round 8 Finals" sheetId="24" r:id="rId25"/>
    <sheet name="Round 8 Print" sheetId="25" r:id="rId26"/>
  </sheets>
  <externalReferences>
    <externalReference r:id="rId27"/>
  </externalReferences>
  <definedNames>
    <definedName name="RD1pts">Table5[]</definedName>
    <definedName name="RD2pts">Table59[]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N4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U25" i="1"/>
  <c r="T25" i="1"/>
  <c r="U24" i="1"/>
  <c r="T24" i="1"/>
  <c r="D39" i="26"/>
  <c r="C39" i="26"/>
  <c r="B39" i="26"/>
  <c r="D38" i="26"/>
  <c r="C38" i="26"/>
  <c r="B38" i="26"/>
  <c r="D37" i="26"/>
  <c r="C37" i="26"/>
  <c r="B37" i="26"/>
  <c r="D36" i="26"/>
  <c r="C36" i="26"/>
  <c r="B36" i="26"/>
  <c r="D35" i="26"/>
  <c r="C35" i="26"/>
  <c r="B35" i="26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12" i="26"/>
  <c r="C12" i="26"/>
  <c r="B12" i="26"/>
  <c r="D11" i="26"/>
  <c r="C11" i="26"/>
  <c r="B11" i="26"/>
  <c r="D10" i="26"/>
  <c r="C10" i="26"/>
  <c r="B10" i="26"/>
  <c r="D9" i="26"/>
  <c r="C9" i="26"/>
  <c r="B9" i="26"/>
  <c r="D8" i="26"/>
  <c r="C8" i="26"/>
  <c r="B8" i="26"/>
  <c r="D7" i="26"/>
  <c r="C7" i="26"/>
  <c r="B7" i="26"/>
  <c r="D6" i="26"/>
  <c r="C6" i="26"/>
  <c r="B6" i="26"/>
  <c r="D5" i="26"/>
  <c r="C5" i="26"/>
  <c r="B5" i="26"/>
  <c r="D4" i="26"/>
  <c r="C4" i="26"/>
  <c r="B4" i="26"/>
  <c r="D3" i="26"/>
  <c r="C3" i="26"/>
  <c r="B3" i="26"/>
  <c r="D2" i="26"/>
  <c r="C2" i="26"/>
  <c r="B2" i="26"/>
  <c r="A32" i="25"/>
  <c r="A30" i="25"/>
  <c r="A28" i="25"/>
  <c r="A26" i="25"/>
  <c r="A24" i="25"/>
  <c r="A22" i="25"/>
  <c r="A20" i="25"/>
  <c r="A18" i="25"/>
  <c r="A16" i="25"/>
  <c r="A14" i="25"/>
  <c r="A12" i="25"/>
  <c r="A10" i="25"/>
  <c r="A8" i="25"/>
  <c r="A6" i="25"/>
  <c r="A4" i="25"/>
  <c r="A2" i="25"/>
  <c r="V1" i="25"/>
  <c r="Q1" i="25"/>
  <c r="P1" i="25"/>
  <c r="L1" i="25"/>
  <c r="K1" i="25"/>
  <c r="G1" i="25"/>
  <c r="F1" i="25"/>
  <c r="D1" i="25"/>
  <c r="C1" i="25"/>
  <c r="B1" i="25"/>
  <c r="A1" i="25"/>
  <c r="S33" i="24"/>
  <c r="S33" i="25" s="1"/>
  <c r="D32" i="24"/>
  <c r="D32" i="25" s="1"/>
  <c r="S31" i="24"/>
  <c r="S31" i="25" s="1"/>
  <c r="I31" i="24"/>
  <c r="I31" i="25" s="1"/>
  <c r="D30" i="24"/>
  <c r="D30" i="25" s="1"/>
  <c r="N29" i="24"/>
  <c r="K29" i="24"/>
  <c r="K29" i="25" s="1"/>
  <c r="D28" i="24"/>
  <c r="D28" i="25" s="1"/>
  <c r="I27" i="24"/>
  <c r="M29" i="24" s="1"/>
  <c r="AF7" i="24" s="1"/>
  <c r="D26" i="24"/>
  <c r="Y25" i="24"/>
  <c r="S25" i="24"/>
  <c r="S25" i="25" s="1"/>
  <c r="Y24" i="24"/>
  <c r="D24" i="24"/>
  <c r="D24" i="25" s="1"/>
  <c r="I23" i="24"/>
  <c r="I23" i="25" s="1"/>
  <c r="Y22" i="24"/>
  <c r="D22" i="24"/>
  <c r="H23" i="24" s="1"/>
  <c r="AA34" i="24" s="1"/>
  <c r="Y21" i="24"/>
  <c r="N21" i="24"/>
  <c r="Q25" i="24" s="1"/>
  <c r="AE13" i="24" s="1"/>
  <c r="D20" i="24"/>
  <c r="D20" i="25" s="1"/>
  <c r="Y19" i="24"/>
  <c r="I19" i="24"/>
  <c r="I19" i="25" s="1"/>
  <c r="Y18" i="24"/>
  <c r="D18" i="24"/>
  <c r="D18" i="25" s="1"/>
  <c r="Y16" i="24"/>
  <c r="D16" i="24"/>
  <c r="D16" i="25" s="1"/>
  <c r="Y15" i="24"/>
  <c r="I15" i="24"/>
  <c r="I15" i="25" s="1"/>
  <c r="D14" i="24"/>
  <c r="D14" i="25" s="1"/>
  <c r="Y13" i="24"/>
  <c r="N13" i="24"/>
  <c r="N13" i="25" s="1"/>
  <c r="Y12" i="24"/>
  <c r="D12" i="24"/>
  <c r="D12" i="25" s="1"/>
  <c r="I11" i="24"/>
  <c r="Y10" i="24"/>
  <c r="D10" i="24"/>
  <c r="F11" i="24" s="1"/>
  <c r="F11" i="25" s="1"/>
  <c r="Y9" i="24"/>
  <c r="S9" i="24"/>
  <c r="D8" i="24"/>
  <c r="D8" i="25" s="1"/>
  <c r="Y7" i="24"/>
  <c r="I7" i="24"/>
  <c r="I7" i="25" s="1"/>
  <c r="Y6" i="24"/>
  <c r="D6" i="24"/>
  <c r="D6" i="25" s="1"/>
  <c r="N5" i="24"/>
  <c r="Y4" i="24"/>
  <c r="D4" i="24"/>
  <c r="D4" i="25" s="1"/>
  <c r="Y3" i="24"/>
  <c r="I3" i="24"/>
  <c r="M5" i="24" s="1"/>
  <c r="AF3" i="24" s="1"/>
  <c r="D2" i="24"/>
  <c r="G3" i="24" s="1"/>
  <c r="G3" i="25" s="1"/>
  <c r="L27" i="23"/>
  <c r="H27" i="23"/>
  <c r="M27" i="23" s="1"/>
  <c r="T27" i="23" s="1"/>
  <c r="L26" i="23"/>
  <c r="H26" i="23"/>
  <c r="L25" i="23"/>
  <c r="H25" i="23"/>
  <c r="L24" i="23"/>
  <c r="H24" i="23"/>
  <c r="L23" i="23"/>
  <c r="H23" i="23"/>
  <c r="L22" i="23"/>
  <c r="H22" i="23"/>
  <c r="M22" i="23" s="1"/>
  <c r="T22" i="23" s="1"/>
  <c r="L21" i="23"/>
  <c r="H21" i="23"/>
  <c r="L20" i="23"/>
  <c r="M20" i="23" s="1"/>
  <c r="H20" i="23"/>
  <c r="L19" i="23"/>
  <c r="H19" i="23"/>
  <c r="L18" i="23"/>
  <c r="H18" i="23"/>
  <c r="L17" i="23"/>
  <c r="H17" i="23"/>
  <c r="M17" i="23" s="1"/>
  <c r="L16" i="23"/>
  <c r="H16" i="23"/>
  <c r="L15" i="23"/>
  <c r="H15" i="23"/>
  <c r="L14" i="23"/>
  <c r="H14" i="23"/>
  <c r="L13" i="23"/>
  <c r="H13" i="23"/>
  <c r="L12" i="23"/>
  <c r="H12" i="23"/>
  <c r="L11" i="23"/>
  <c r="H11" i="23"/>
  <c r="L10" i="23"/>
  <c r="H10" i="23"/>
  <c r="L9" i="23"/>
  <c r="H9" i="23"/>
  <c r="L8" i="23"/>
  <c r="H8" i="23"/>
  <c r="L7" i="23"/>
  <c r="H7" i="23"/>
  <c r="L6" i="23"/>
  <c r="H6" i="23"/>
  <c r="M6" i="23" s="1"/>
  <c r="L5" i="23"/>
  <c r="H5" i="23"/>
  <c r="L4" i="23"/>
  <c r="H4" i="23"/>
  <c r="L3" i="23"/>
  <c r="H3" i="23"/>
  <c r="M3" i="23" s="1"/>
  <c r="T3" i="23" s="1"/>
  <c r="D32" i="22"/>
  <c r="A32" i="22"/>
  <c r="A30" i="22"/>
  <c r="A28" i="22"/>
  <c r="A26" i="22"/>
  <c r="A24" i="22"/>
  <c r="A22" i="22"/>
  <c r="A20" i="22"/>
  <c r="A18" i="22"/>
  <c r="A16" i="22"/>
  <c r="A14" i="22"/>
  <c r="D12" i="22"/>
  <c r="A12" i="22"/>
  <c r="D10" i="22"/>
  <c r="A10" i="22"/>
  <c r="A8" i="22"/>
  <c r="A6" i="22"/>
  <c r="N5" i="22"/>
  <c r="A4" i="22"/>
  <c r="A2" i="22"/>
  <c r="V1" i="22"/>
  <c r="Q1" i="22"/>
  <c r="P1" i="22"/>
  <c r="L1" i="22"/>
  <c r="K1" i="22"/>
  <c r="G1" i="22"/>
  <c r="F1" i="22"/>
  <c r="D1" i="22"/>
  <c r="C1" i="22"/>
  <c r="B1" i="22"/>
  <c r="A1" i="22"/>
  <c r="S33" i="21"/>
  <c r="S33" i="22" s="1"/>
  <c r="D32" i="21"/>
  <c r="S31" i="21"/>
  <c r="S31" i="22" s="1"/>
  <c r="I31" i="21"/>
  <c r="I31" i="22" s="1"/>
  <c r="D30" i="21"/>
  <c r="N29" i="21"/>
  <c r="D28" i="21"/>
  <c r="D28" i="22" s="1"/>
  <c r="I27" i="21"/>
  <c r="D26" i="21"/>
  <c r="F27" i="21" s="1"/>
  <c r="Y25" i="21"/>
  <c r="S25" i="21"/>
  <c r="S25" i="22" s="1"/>
  <c r="Y24" i="21"/>
  <c r="D24" i="21"/>
  <c r="I23" i="21"/>
  <c r="I23" i="22" s="1"/>
  <c r="F23" i="21"/>
  <c r="Y22" i="21"/>
  <c r="D22" i="21"/>
  <c r="D22" i="22" s="1"/>
  <c r="Y21" i="21"/>
  <c r="N21" i="21"/>
  <c r="D20" i="21"/>
  <c r="D20" i="22" s="1"/>
  <c r="Y19" i="21"/>
  <c r="I19" i="21"/>
  <c r="I19" i="22" s="1"/>
  <c r="Y18" i="21"/>
  <c r="D18" i="21"/>
  <c r="Y16" i="21"/>
  <c r="D16" i="21"/>
  <c r="D16" i="22" s="1"/>
  <c r="Y15" i="21"/>
  <c r="I15" i="21"/>
  <c r="I15" i="22" s="1"/>
  <c r="D14" i="21"/>
  <c r="H15" i="21" s="1"/>
  <c r="AA31" i="21" s="1"/>
  <c r="Y13" i="21"/>
  <c r="N13" i="21"/>
  <c r="N13" i="22" s="1"/>
  <c r="Y12" i="21"/>
  <c r="D12" i="21"/>
  <c r="I11" i="21"/>
  <c r="Y10" i="21"/>
  <c r="D10" i="21"/>
  <c r="Y9" i="21"/>
  <c r="S9" i="21"/>
  <c r="D8" i="21"/>
  <c r="D8" i="22" s="1"/>
  <c r="Y7" i="21"/>
  <c r="I7" i="21"/>
  <c r="I7" i="22" s="1"/>
  <c r="Y6" i="21"/>
  <c r="D6" i="21"/>
  <c r="N5" i="21"/>
  <c r="Y4" i="21"/>
  <c r="D4" i="21"/>
  <c r="D4" i="22" s="1"/>
  <c r="Y3" i="21"/>
  <c r="I3" i="21"/>
  <c r="D2" i="21"/>
  <c r="L27" i="20"/>
  <c r="H27" i="20"/>
  <c r="L26" i="20"/>
  <c r="H26" i="20"/>
  <c r="L25" i="20"/>
  <c r="H25" i="20"/>
  <c r="L24" i="20"/>
  <c r="H24" i="20"/>
  <c r="L23" i="20"/>
  <c r="H23" i="20"/>
  <c r="L22" i="20"/>
  <c r="H22" i="20"/>
  <c r="M22" i="20" s="1"/>
  <c r="T22" i="20" s="1"/>
  <c r="L21" i="20"/>
  <c r="H21" i="20"/>
  <c r="L20" i="20"/>
  <c r="H20" i="20"/>
  <c r="L19" i="20"/>
  <c r="H19" i="20"/>
  <c r="L18" i="20"/>
  <c r="H18" i="20"/>
  <c r="L17" i="20"/>
  <c r="H17" i="20"/>
  <c r="M17" i="20" s="1"/>
  <c r="N17" i="20" s="1"/>
  <c r="U17" i="20" s="1"/>
  <c r="L16" i="20"/>
  <c r="H16" i="20"/>
  <c r="L15" i="20"/>
  <c r="H15" i="20"/>
  <c r="L14" i="20"/>
  <c r="H14" i="20"/>
  <c r="L13" i="20"/>
  <c r="H13" i="20"/>
  <c r="L12" i="20"/>
  <c r="H12" i="20"/>
  <c r="L11" i="20"/>
  <c r="H11" i="20"/>
  <c r="L10" i="20"/>
  <c r="H10" i="20"/>
  <c r="L9" i="20"/>
  <c r="H9" i="20"/>
  <c r="L8" i="20"/>
  <c r="H8" i="20"/>
  <c r="L7" i="20"/>
  <c r="H7" i="20"/>
  <c r="L6" i="20"/>
  <c r="H6" i="20"/>
  <c r="L5" i="20"/>
  <c r="H5" i="20"/>
  <c r="L4" i="20"/>
  <c r="M4" i="20" s="1"/>
  <c r="H4" i="20"/>
  <c r="L3" i="20"/>
  <c r="H3" i="20"/>
  <c r="A32" i="19"/>
  <c r="I31" i="19"/>
  <c r="A30" i="19"/>
  <c r="A28" i="19"/>
  <c r="A26" i="19"/>
  <c r="S25" i="19"/>
  <c r="A24" i="19"/>
  <c r="A22" i="19"/>
  <c r="D20" i="19"/>
  <c r="A20" i="19"/>
  <c r="A18" i="19"/>
  <c r="A16" i="19"/>
  <c r="D14" i="19"/>
  <c r="A14" i="19"/>
  <c r="A12" i="19"/>
  <c r="A10" i="19"/>
  <c r="A8" i="19"/>
  <c r="A6" i="19"/>
  <c r="A4" i="19"/>
  <c r="A2" i="19"/>
  <c r="V1" i="19"/>
  <c r="Q1" i="19"/>
  <c r="P1" i="19"/>
  <c r="L1" i="19"/>
  <c r="K1" i="19"/>
  <c r="G1" i="19"/>
  <c r="F1" i="19"/>
  <c r="D1" i="19"/>
  <c r="C1" i="19"/>
  <c r="B1" i="19"/>
  <c r="A1" i="19"/>
  <c r="S33" i="18"/>
  <c r="S33" i="19" s="1"/>
  <c r="D32" i="18"/>
  <c r="G31" i="18" s="1"/>
  <c r="S31" i="18"/>
  <c r="S31" i="19" s="1"/>
  <c r="I31" i="18"/>
  <c r="D30" i="18"/>
  <c r="N29" i="18"/>
  <c r="N29" i="19" s="1"/>
  <c r="D28" i="18"/>
  <c r="D28" i="19" s="1"/>
  <c r="I27" i="18"/>
  <c r="F27" i="18"/>
  <c r="D26" i="18"/>
  <c r="Y25" i="18"/>
  <c r="S25" i="18"/>
  <c r="Y24" i="18"/>
  <c r="D24" i="18"/>
  <c r="I23" i="18"/>
  <c r="I23" i="19" s="1"/>
  <c r="Y22" i="18"/>
  <c r="D22" i="18"/>
  <c r="D22" i="19" s="1"/>
  <c r="Y21" i="18"/>
  <c r="N21" i="18"/>
  <c r="N21" i="19" s="1"/>
  <c r="D20" i="18"/>
  <c r="Y19" i="18"/>
  <c r="I19" i="18"/>
  <c r="I19" i="19" s="1"/>
  <c r="Y18" i="18"/>
  <c r="D18" i="18"/>
  <c r="Y16" i="18"/>
  <c r="D16" i="18"/>
  <c r="D16" i="19" s="1"/>
  <c r="Y15" i="18"/>
  <c r="I15" i="18"/>
  <c r="I15" i="19" s="1"/>
  <c r="D14" i="18"/>
  <c r="Y13" i="18"/>
  <c r="N13" i="18"/>
  <c r="N13" i="19" s="1"/>
  <c r="Y12" i="18"/>
  <c r="D12" i="18"/>
  <c r="D12" i="19" s="1"/>
  <c r="I11" i="18"/>
  <c r="Y10" i="18"/>
  <c r="D10" i="18"/>
  <c r="D10" i="19" s="1"/>
  <c r="Y9" i="18"/>
  <c r="S9" i="18"/>
  <c r="S9" i="19" s="1"/>
  <c r="D8" i="18"/>
  <c r="D8" i="19" s="1"/>
  <c r="Y7" i="18"/>
  <c r="I7" i="18"/>
  <c r="I7" i="19" s="1"/>
  <c r="Y6" i="18"/>
  <c r="D6" i="18"/>
  <c r="H7" i="18" s="1"/>
  <c r="N5" i="18"/>
  <c r="R9" i="18" s="1"/>
  <c r="AF12" i="18" s="1"/>
  <c r="Y4" i="18"/>
  <c r="D4" i="18"/>
  <c r="D4" i="19" s="1"/>
  <c r="Y3" i="18"/>
  <c r="I3" i="18"/>
  <c r="I3" i="19" s="1"/>
  <c r="D2" i="18"/>
  <c r="L27" i="17"/>
  <c r="H27" i="17"/>
  <c r="L26" i="17"/>
  <c r="H26" i="17"/>
  <c r="L25" i="17"/>
  <c r="H25" i="17"/>
  <c r="L24" i="17"/>
  <c r="H24" i="17"/>
  <c r="M24" i="17" s="1"/>
  <c r="L23" i="17"/>
  <c r="H23" i="17"/>
  <c r="L22" i="17"/>
  <c r="H22" i="17"/>
  <c r="M22" i="17" s="1"/>
  <c r="N22" i="17" s="1"/>
  <c r="U22" i="17" s="1"/>
  <c r="L21" i="17"/>
  <c r="H21" i="17"/>
  <c r="L20" i="17"/>
  <c r="H20" i="17"/>
  <c r="L19" i="17"/>
  <c r="H19" i="17"/>
  <c r="M19" i="17" s="1"/>
  <c r="L18" i="17"/>
  <c r="H18" i="17"/>
  <c r="L17" i="17"/>
  <c r="H17" i="17"/>
  <c r="M17" i="17" s="1"/>
  <c r="L16" i="17"/>
  <c r="H16" i="17"/>
  <c r="M16" i="17" s="1"/>
  <c r="L15" i="17"/>
  <c r="H15" i="17"/>
  <c r="L14" i="17"/>
  <c r="H14" i="17"/>
  <c r="L13" i="17"/>
  <c r="H13" i="17"/>
  <c r="L12" i="17"/>
  <c r="H12" i="17"/>
  <c r="L11" i="17"/>
  <c r="H11" i="17"/>
  <c r="L10" i="17"/>
  <c r="H10" i="17"/>
  <c r="L9" i="17"/>
  <c r="H9" i="17"/>
  <c r="L8" i="17"/>
  <c r="H8" i="17"/>
  <c r="L7" i="17"/>
  <c r="H7" i="17"/>
  <c r="L6" i="17"/>
  <c r="M6" i="17" s="1"/>
  <c r="H6" i="17"/>
  <c r="L5" i="17"/>
  <c r="H5" i="17"/>
  <c r="L4" i="17"/>
  <c r="H4" i="17"/>
  <c r="L3" i="17"/>
  <c r="H3" i="17"/>
  <c r="M3" i="17" s="1"/>
  <c r="A32" i="16"/>
  <c r="D30" i="16"/>
  <c r="A30" i="16"/>
  <c r="A28" i="16"/>
  <c r="A26" i="16"/>
  <c r="S25" i="16"/>
  <c r="A24" i="16"/>
  <c r="I23" i="16"/>
  <c r="A22" i="16"/>
  <c r="A20" i="16"/>
  <c r="A18" i="16"/>
  <c r="A16" i="16"/>
  <c r="A14" i="16"/>
  <c r="A12" i="16"/>
  <c r="A10" i="16"/>
  <c r="A8" i="16"/>
  <c r="A6" i="16"/>
  <c r="A4" i="16"/>
  <c r="A2" i="16"/>
  <c r="V1" i="16"/>
  <c r="Q1" i="16"/>
  <c r="P1" i="16"/>
  <c r="L1" i="16"/>
  <c r="K1" i="16"/>
  <c r="G1" i="16"/>
  <c r="F1" i="16"/>
  <c r="D1" i="16"/>
  <c r="C1" i="16"/>
  <c r="B1" i="16"/>
  <c r="A1" i="16"/>
  <c r="S33" i="15"/>
  <c r="S33" i="16" s="1"/>
  <c r="D32" i="15"/>
  <c r="S31" i="15"/>
  <c r="S31" i="16" s="1"/>
  <c r="I31" i="15"/>
  <c r="I31" i="16" s="1"/>
  <c r="D30" i="15"/>
  <c r="N29" i="15"/>
  <c r="D28" i="15"/>
  <c r="I27" i="15"/>
  <c r="I27" i="16" s="1"/>
  <c r="D26" i="15"/>
  <c r="Y25" i="15"/>
  <c r="S25" i="15"/>
  <c r="Y24" i="15"/>
  <c r="D24" i="15"/>
  <c r="D24" i="16" s="1"/>
  <c r="I23" i="15"/>
  <c r="Y22" i="15"/>
  <c r="D22" i="15"/>
  <c r="H23" i="15" s="1"/>
  <c r="Y21" i="15"/>
  <c r="N21" i="15"/>
  <c r="D20" i="15"/>
  <c r="D20" i="16" s="1"/>
  <c r="Y19" i="15"/>
  <c r="I19" i="15"/>
  <c r="I19" i="16" s="1"/>
  <c r="Y18" i="15"/>
  <c r="D18" i="15"/>
  <c r="Y16" i="15"/>
  <c r="D16" i="15"/>
  <c r="D16" i="16" s="1"/>
  <c r="Y15" i="15"/>
  <c r="I15" i="15"/>
  <c r="I15" i="16" s="1"/>
  <c r="D14" i="15"/>
  <c r="D14" i="16" s="1"/>
  <c r="Y13" i="15"/>
  <c r="N13" i="15"/>
  <c r="N13" i="16" s="1"/>
  <c r="Y12" i="15"/>
  <c r="D12" i="15"/>
  <c r="D12" i="16" s="1"/>
  <c r="I11" i="15"/>
  <c r="I11" i="16" s="1"/>
  <c r="Y10" i="15"/>
  <c r="D10" i="15"/>
  <c r="Y9" i="15"/>
  <c r="S9" i="15"/>
  <c r="V17" i="15" s="1"/>
  <c r="V17" i="16" s="1"/>
  <c r="D8" i="15"/>
  <c r="D8" i="16" s="1"/>
  <c r="Y7" i="15"/>
  <c r="I7" i="15"/>
  <c r="I7" i="16" s="1"/>
  <c r="Y6" i="15"/>
  <c r="D6" i="15"/>
  <c r="N5" i="15"/>
  <c r="Y4" i="15"/>
  <c r="D4" i="15"/>
  <c r="D4" i="16" s="1"/>
  <c r="Y3" i="15"/>
  <c r="I3" i="15"/>
  <c r="L5" i="15" s="1"/>
  <c r="L5" i="16" s="1"/>
  <c r="D2" i="15"/>
  <c r="L27" i="14"/>
  <c r="H27" i="14"/>
  <c r="L26" i="14"/>
  <c r="H26" i="14"/>
  <c r="L25" i="14"/>
  <c r="H25" i="14"/>
  <c r="M25" i="14" s="1"/>
  <c r="L24" i="14"/>
  <c r="H24" i="14"/>
  <c r="M24" i="14" s="1"/>
  <c r="L23" i="14"/>
  <c r="H23" i="14"/>
  <c r="L22" i="14"/>
  <c r="H22" i="14"/>
  <c r="M22" i="14" s="1"/>
  <c r="L21" i="14"/>
  <c r="H21" i="14"/>
  <c r="L20" i="14"/>
  <c r="H20" i="14"/>
  <c r="L19" i="14"/>
  <c r="H19" i="14"/>
  <c r="L18" i="14"/>
  <c r="H18" i="14"/>
  <c r="M18" i="14" s="1"/>
  <c r="L17" i="14"/>
  <c r="M17" i="14" s="1"/>
  <c r="H17" i="14"/>
  <c r="L16" i="14"/>
  <c r="H16" i="14"/>
  <c r="L15" i="14"/>
  <c r="H15" i="14"/>
  <c r="L14" i="14"/>
  <c r="H14" i="14"/>
  <c r="M14" i="14" s="1"/>
  <c r="L13" i="14"/>
  <c r="H13" i="14"/>
  <c r="M13" i="14" s="1"/>
  <c r="N13" i="14" s="1"/>
  <c r="U13" i="14" s="1"/>
  <c r="L12" i="14"/>
  <c r="H12" i="14"/>
  <c r="L11" i="14"/>
  <c r="H11" i="14"/>
  <c r="M11" i="14" s="1"/>
  <c r="L10" i="14"/>
  <c r="H10" i="14"/>
  <c r="M10" i="14" s="1"/>
  <c r="T10" i="14" s="1"/>
  <c r="L9" i="14"/>
  <c r="H9" i="14"/>
  <c r="L8" i="14"/>
  <c r="H8" i="14"/>
  <c r="L7" i="14"/>
  <c r="H7" i="14"/>
  <c r="L6" i="14"/>
  <c r="H6" i="14"/>
  <c r="L5" i="14"/>
  <c r="H5" i="14"/>
  <c r="L4" i="14"/>
  <c r="H4" i="14"/>
  <c r="L3" i="14"/>
  <c r="H3" i="14"/>
  <c r="A32" i="13"/>
  <c r="A30" i="13"/>
  <c r="A28" i="13"/>
  <c r="A26" i="13"/>
  <c r="A24" i="13"/>
  <c r="A22" i="13"/>
  <c r="A20" i="13"/>
  <c r="A18" i="13"/>
  <c r="A16" i="13"/>
  <c r="I15" i="13"/>
  <c r="A14" i="13"/>
  <c r="A12" i="13"/>
  <c r="A10" i="13"/>
  <c r="S9" i="13"/>
  <c r="A8" i="13"/>
  <c r="A6" i="13"/>
  <c r="A4" i="13"/>
  <c r="A2" i="13"/>
  <c r="V1" i="13"/>
  <c r="Q1" i="13"/>
  <c r="P1" i="13"/>
  <c r="L1" i="13"/>
  <c r="K1" i="13"/>
  <c r="G1" i="13"/>
  <c r="F1" i="13"/>
  <c r="D1" i="13"/>
  <c r="C1" i="13"/>
  <c r="B1" i="13"/>
  <c r="A1" i="13"/>
  <c r="S33" i="12"/>
  <c r="S33" i="13" s="1"/>
  <c r="D32" i="12"/>
  <c r="S31" i="12"/>
  <c r="S31" i="13" s="1"/>
  <c r="I31" i="12"/>
  <c r="I31" i="13" s="1"/>
  <c r="D30" i="12"/>
  <c r="D30" i="13" s="1"/>
  <c r="N29" i="12"/>
  <c r="N29" i="13" s="1"/>
  <c r="D28" i="12"/>
  <c r="D28" i="13" s="1"/>
  <c r="I27" i="12"/>
  <c r="I27" i="13" s="1"/>
  <c r="D26" i="12"/>
  <c r="D26" i="13" s="1"/>
  <c r="Y25" i="12"/>
  <c r="S25" i="12"/>
  <c r="S25" i="13" s="1"/>
  <c r="Y24" i="12"/>
  <c r="D24" i="12"/>
  <c r="I23" i="12"/>
  <c r="I23" i="13" s="1"/>
  <c r="Y22" i="12"/>
  <c r="D22" i="12"/>
  <c r="Y21" i="12"/>
  <c r="N21" i="12"/>
  <c r="N21" i="13" s="1"/>
  <c r="D20" i="12"/>
  <c r="D20" i="13" s="1"/>
  <c r="Y19" i="12"/>
  <c r="I19" i="12"/>
  <c r="K21" i="12" s="1"/>
  <c r="K21" i="13" s="1"/>
  <c r="Y18" i="12"/>
  <c r="D18" i="12"/>
  <c r="D18" i="13" s="1"/>
  <c r="Y16" i="12"/>
  <c r="D16" i="12"/>
  <c r="D16" i="13" s="1"/>
  <c r="Y15" i="12"/>
  <c r="I15" i="12"/>
  <c r="D14" i="12"/>
  <c r="Y13" i="12"/>
  <c r="N13" i="12"/>
  <c r="N13" i="13" s="1"/>
  <c r="Y12" i="12"/>
  <c r="D12" i="12"/>
  <c r="D12" i="13" s="1"/>
  <c r="I11" i="12"/>
  <c r="I11" i="13" s="1"/>
  <c r="Y10" i="12"/>
  <c r="D10" i="12"/>
  <c r="Y9" i="12"/>
  <c r="S9" i="12"/>
  <c r="D8" i="12"/>
  <c r="D8" i="13" s="1"/>
  <c r="Y7" i="12"/>
  <c r="I7" i="12"/>
  <c r="Y6" i="12"/>
  <c r="D6" i="12"/>
  <c r="N5" i="12"/>
  <c r="Y4" i="12"/>
  <c r="D4" i="12"/>
  <c r="D4" i="13" s="1"/>
  <c r="Y3" i="12"/>
  <c r="I3" i="12"/>
  <c r="I3" i="13" s="1"/>
  <c r="D2" i="12"/>
  <c r="L27" i="11"/>
  <c r="H27" i="11"/>
  <c r="L26" i="11"/>
  <c r="H26" i="11"/>
  <c r="L25" i="11"/>
  <c r="H25" i="11"/>
  <c r="L24" i="11"/>
  <c r="H24" i="11"/>
  <c r="L23" i="11"/>
  <c r="H23" i="11"/>
  <c r="L22" i="11"/>
  <c r="H22" i="11"/>
  <c r="L21" i="11"/>
  <c r="H21" i="11"/>
  <c r="L20" i="11"/>
  <c r="H20" i="11"/>
  <c r="L19" i="11"/>
  <c r="H19" i="11"/>
  <c r="L18" i="11"/>
  <c r="H18" i="11"/>
  <c r="L17" i="11"/>
  <c r="H17" i="11"/>
  <c r="L16" i="11"/>
  <c r="H16" i="11"/>
  <c r="L15" i="11"/>
  <c r="H15" i="11"/>
  <c r="L14" i="11"/>
  <c r="H14" i="11"/>
  <c r="L13" i="11"/>
  <c r="H13" i="11"/>
  <c r="L12" i="11"/>
  <c r="H12" i="11"/>
  <c r="L11" i="11"/>
  <c r="H11" i="11"/>
  <c r="L10" i="11"/>
  <c r="H10" i="11"/>
  <c r="L9" i="11"/>
  <c r="H9" i="11"/>
  <c r="L8" i="11"/>
  <c r="H8" i="11"/>
  <c r="L7" i="11"/>
  <c r="H7" i="11"/>
  <c r="L6" i="11"/>
  <c r="H6" i="11"/>
  <c r="T6" i="11" s="1"/>
  <c r="L5" i="11"/>
  <c r="H5" i="11"/>
  <c r="T4" i="11"/>
  <c r="L4" i="11"/>
  <c r="H4" i="11"/>
  <c r="L3" i="11"/>
  <c r="H3" i="11"/>
  <c r="A32" i="10"/>
  <c r="A30" i="10"/>
  <c r="A28" i="10"/>
  <c r="D26" i="10"/>
  <c r="A26" i="10"/>
  <c r="A24" i="10"/>
  <c r="I23" i="10"/>
  <c r="A22" i="10"/>
  <c r="A20" i="10"/>
  <c r="A18" i="10"/>
  <c r="A16" i="10"/>
  <c r="A14" i="10"/>
  <c r="A12" i="10"/>
  <c r="A10" i="10"/>
  <c r="A8" i="10"/>
  <c r="A6" i="10"/>
  <c r="A4" i="10"/>
  <c r="A2" i="10"/>
  <c r="V1" i="10"/>
  <c r="Q1" i="10"/>
  <c r="P1" i="10"/>
  <c r="L1" i="10"/>
  <c r="K1" i="10"/>
  <c r="G1" i="10"/>
  <c r="F1" i="10"/>
  <c r="D1" i="10"/>
  <c r="C1" i="10"/>
  <c r="B1" i="10"/>
  <c r="A1" i="10"/>
  <c r="S33" i="9"/>
  <c r="S33" i="10" s="1"/>
  <c r="D32" i="9"/>
  <c r="D32" i="10" s="1"/>
  <c r="S31" i="9"/>
  <c r="S31" i="10" s="1"/>
  <c r="I31" i="9"/>
  <c r="I31" i="10" s="1"/>
  <c r="D30" i="9"/>
  <c r="D30" i="10" s="1"/>
  <c r="N29" i="9"/>
  <c r="N29" i="10" s="1"/>
  <c r="D28" i="9"/>
  <c r="D28" i="10" s="1"/>
  <c r="I27" i="9"/>
  <c r="I27" i="10" s="1"/>
  <c r="D26" i="9"/>
  <c r="Y25" i="9"/>
  <c r="S25" i="9"/>
  <c r="S25" i="10" s="1"/>
  <c r="Y24" i="9"/>
  <c r="D24" i="9"/>
  <c r="D24" i="10" s="1"/>
  <c r="I23" i="9"/>
  <c r="Y22" i="9"/>
  <c r="D22" i="9"/>
  <c r="Y21" i="9"/>
  <c r="N21" i="9"/>
  <c r="D20" i="9"/>
  <c r="D20" i="10" s="1"/>
  <c r="Y19" i="9"/>
  <c r="I19" i="9"/>
  <c r="K21" i="9" s="1"/>
  <c r="K21" i="10" s="1"/>
  <c r="Y18" i="9"/>
  <c r="D18" i="9"/>
  <c r="Y16" i="9"/>
  <c r="D16" i="9"/>
  <c r="D16" i="10" s="1"/>
  <c r="Y15" i="9"/>
  <c r="I15" i="9"/>
  <c r="D14" i="9"/>
  <c r="Y13" i="9"/>
  <c r="N13" i="9"/>
  <c r="N13" i="10" s="1"/>
  <c r="Y12" i="9"/>
  <c r="D12" i="9"/>
  <c r="D12" i="10" s="1"/>
  <c r="I11" i="9"/>
  <c r="I11" i="10" s="1"/>
  <c r="Y10" i="9"/>
  <c r="D10" i="9"/>
  <c r="Y9" i="9"/>
  <c r="S9" i="9"/>
  <c r="D8" i="9"/>
  <c r="D8" i="10" s="1"/>
  <c r="Y7" i="9"/>
  <c r="I7" i="9"/>
  <c r="Y6" i="9"/>
  <c r="D6" i="9"/>
  <c r="N5" i="9"/>
  <c r="Y4" i="9"/>
  <c r="D4" i="9"/>
  <c r="D4" i="10" s="1"/>
  <c r="Y3" i="9"/>
  <c r="I3" i="9"/>
  <c r="I3" i="10" s="1"/>
  <c r="D2" i="9"/>
  <c r="L27" i="8"/>
  <c r="H27" i="8"/>
  <c r="L26" i="8"/>
  <c r="H26" i="8"/>
  <c r="L25" i="8"/>
  <c r="H25" i="8"/>
  <c r="L24" i="8"/>
  <c r="H24" i="8"/>
  <c r="L23" i="8"/>
  <c r="H23" i="8"/>
  <c r="T23" i="8" s="1"/>
  <c r="L22" i="8"/>
  <c r="H22" i="8"/>
  <c r="N22" i="8" s="1"/>
  <c r="U22" i="8" s="1"/>
  <c r="L21" i="8"/>
  <c r="H21" i="8"/>
  <c r="L20" i="8"/>
  <c r="H20" i="8"/>
  <c r="L19" i="8"/>
  <c r="H19" i="8"/>
  <c r="L18" i="8"/>
  <c r="H18" i="8"/>
  <c r="L17" i="8"/>
  <c r="H17" i="8"/>
  <c r="L16" i="8"/>
  <c r="H16" i="8"/>
  <c r="L15" i="8"/>
  <c r="H15" i="8"/>
  <c r="L14" i="8"/>
  <c r="H14" i="8"/>
  <c r="N14" i="8" s="1"/>
  <c r="U14" i="8" s="1"/>
  <c r="L13" i="8"/>
  <c r="H13" i="8"/>
  <c r="L12" i="8"/>
  <c r="H12" i="8"/>
  <c r="L11" i="8"/>
  <c r="H11" i="8"/>
  <c r="L10" i="8"/>
  <c r="H10" i="8"/>
  <c r="L9" i="8"/>
  <c r="H9" i="8"/>
  <c r="L8" i="8"/>
  <c r="H8" i="8"/>
  <c r="L7" i="8"/>
  <c r="H7" i="8"/>
  <c r="L6" i="8"/>
  <c r="H6" i="8"/>
  <c r="L5" i="8"/>
  <c r="H5" i="8"/>
  <c r="L4" i="8"/>
  <c r="H4" i="8"/>
  <c r="L3" i="8"/>
  <c r="H3" i="8"/>
  <c r="A32" i="7"/>
  <c r="A30" i="7"/>
  <c r="A28" i="7"/>
  <c r="A26" i="7"/>
  <c r="A24" i="7"/>
  <c r="A22" i="7"/>
  <c r="A20" i="7"/>
  <c r="A18" i="7"/>
  <c r="A16" i="7"/>
  <c r="A14" i="7"/>
  <c r="A12" i="7"/>
  <c r="A10" i="7"/>
  <c r="A8" i="7"/>
  <c r="A6" i="7"/>
  <c r="A4" i="7"/>
  <c r="A2" i="7"/>
  <c r="V1" i="7"/>
  <c r="Q1" i="7"/>
  <c r="P1" i="7"/>
  <c r="L1" i="7"/>
  <c r="K1" i="7"/>
  <c r="G1" i="7"/>
  <c r="F1" i="7"/>
  <c r="D1" i="7"/>
  <c r="C1" i="7"/>
  <c r="B1" i="7"/>
  <c r="A1" i="7"/>
  <c r="S33" i="6"/>
  <c r="S33" i="7" s="1"/>
  <c r="D32" i="6"/>
  <c r="D32" i="7" s="1"/>
  <c r="S31" i="6"/>
  <c r="S31" i="7" s="1"/>
  <c r="I31" i="6"/>
  <c r="I31" i="7" s="1"/>
  <c r="D30" i="6"/>
  <c r="N29" i="6"/>
  <c r="N29" i="7" s="1"/>
  <c r="D28" i="6"/>
  <c r="D28" i="7" s="1"/>
  <c r="I27" i="6"/>
  <c r="D26" i="6"/>
  <c r="F27" i="6" s="1"/>
  <c r="Y36" i="6" s="1"/>
  <c r="Y25" i="6"/>
  <c r="S25" i="6"/>
  <c r="S25" i="7" s="1"/>
  <c r="Y24" i="6"/>
  <c r="D24" i="6"/>
  <c r="D24" i="7" s="1"/>
  <c r="I23" i="6"/>
  <c r="I23" i="7" s="1"/>
  <c r="Y22" i="6"/>
  <c r="D22" i="6"/>
  <c r="F23" i="6" s="1"/>
  <c r="AI16" i="6" s="1"/>
  <c r="Y21" i="6"/>
  <c r="N21" i="6"/>
  <c r="D20" i="6"/>
  <c r="D20" i="7" s="1"/>
  <c r="Y19" i="6"/>
  <c r="I19" i="6"/>
  <c r="Y18" i="6"/>
  <c r="D18" i="6"/>
  <c r="Y16" i="6"/>
  <c r="D16" i="6"/>
  <c r="D16" i="7" s="1"/>
  <c r="Y15" i="6"/>
  <c r="I15" i="6"/>
  <c r="I15" i="7" s="1"/>
  <c r="D14" i="6"/>
  <c r="Y13" i="6"/>
  <c r="N13" i="6"/>
  <c r="N13" i="7" s="1"/>
  <c r="Y12" i="6"/>
  <c r="D12" i="6"/>
  <c r="D12" i="7" s="1"/>
  <c r="I11" i="6"/>
  <c r="Y10" i="6"/>
  <c r="D10" i="6"/>
  <c r="Y9" i="6"/>
  <c r="S9" i="6"/>
  <c r="S9" i="7" s="1"/>
  <c r="D8" i="6"/>
  <c r="D8" i="7" s="1"/>
  <c r="Y7" i="6"/>
  <c r="I7" i="6"/>
  <c r="I7" i="7" s="1"/>
  <c r="Y6" i="6"/>
  <c r="D6" i="6"/>
  <c r="N5" i="6"/>
  <c r="Y4" i="6"/>
  <c r="D4" i="6"/>
  <c r="D4" i="7" s="1"/>
  <c r="Y3" i="6"/>
  <c r="I3" i="6"/>
  <c r="D2" i="6"/>
  <c r="F3" i="6" s="1"/>
  <c r="AI11" i="6" s="1"/>
  <c r="L27" i="5"/>
  <c r="H27" i="5"/>
  <c r="M27" i="5" s="1"/>
  <c r="L26" i="5"/>
  <c r="H26" i="5"/>
  <c r="M26" i="5" s="1"/>
  <c r="L25" i="5"/>
  <c r="H25" i="5"/>
  <c r="M25" i="5" s="1"/>
  <c r="L24" i="5"/>
  <c r="H24" i="5"/>
  <c r="M24" i="5" s="1"/>
  <c r="L23" i="5"/>
  <c r="H23" i="5"/>
  <c r="M23" i="5" s="1"/>
  <c r="L22" i="5"/>
  <c r="H22" i="5"/>
  <c r="M22" i="5" s="1"/>
  <c r="L21" i="5"/>
  <c r="H21" i="5"/>
  <c r="M21" i="5" s="1"/>
  <c r="L20" i="5"/>
  <c r="H20" i="5"/>
  <c r="M20" i="5" s="1"/>
  <c r="L19" i="5"/>
  <c r="H19" i="5"/>
  <c r="M19" i="5" s="1"/>
  <c r="L18" i="5"/>
  <c r="H18" i="5"/>
  <c r="L17" i="5"/>
  <c r="H17" i="5"/>
  <c r="M17" i="5" s="1"/>
  <c r="L16" i="5"/>
  <c r="H16" i="5"/>
  <c r="M16" i="5" s="1"/>
  <c r="L15" i="5"/>
  <c r="H15" i="5"/>
  <c r="L14" i="5"/>
  <c r="H14" i="5"/>
  <c r="L13" i="5"/>
  <c r="H13" i="5"/>
  <c r="M13" i="5" s="1"/>
  <c r="L12" i="5"/>
  <c r="H12" i="5"/>
  <c r="M12" i="5" s="1"/>
  <c r="L11" i="5"/>
  <c r="H11" i="5"/>
  <c r="L10" i="5"/>
  <c r="H10" i="5"/>
  <c r="L9" i="5"/>
  <c r="H9" i="5"/>
  <c r="M9" i="5" s="1"/>
  <c r="L8" i="5"/>
  <c r="H8" i="5"/>
  <c r="L7" i="5"/>
  <c r="H7" i="5"/>
  <c r="M7" i="5" s="1"/>
  <c r="L6" i="5"/>
  <c r="H6" i="5"/>
  <c r="L5" i="5"/>
  <c r="H5" i="5"/>
  <c r="M5" i="5" s="1"/>
  <c r="L4" i="5"/>
  <c r="H4" i="5"/>
  <c r="L3" i="5"/>
  <c r="H3" i="5"/>
  <c r="S33" i="3"/>
  <c r="S33" i="4" s="1"/>
  <c r="S31" i="3"/>
  <c r="S31" i="4" s="1"/>
  <c r="A32" i="4"/>
  <c r="A30" i="4"/>
  <c r="A28" i="4"/>
  <c r="A26" i="4"/>
  <c r="A24" i="4"/>
  <c r="A22" i="4"/>
  <c r="A20" i="4"/>
  <c r="A18" i="4"/>
  <c r="A16" i="4"/>
  <c r="A14" i="4"/>
  <c r="A12" i="4"/>
  <c r="A10" i="4"/>
  <c r="A8" i="4"/>
  <c r="A6" i="4"/>
  <c r="A4" i="4"/>
  <c r="A2" i="4"/>
  <c r="V1" i="4"/>
  <c r="Q1" i="4"/>
  <c r="P1" i="4"/>
  <c r="L1" i="4"/>
  <c r="K1" i="4"/>
  <c r="G1" i="4"/>
  <c r="F1" i="4"/>
  <c r="D1" i="4"/>
  <c r="C1" i="4"/>
  <c r="B1" i="4"/>
  <c r="A1" i="4"/>
  <c r="T11" i="11" l="1"/>
  <c r="N8" i="8"/>
  <c r="U8" i="8" s="1"/>
  <c r="N11" i="14"/>
  <c r="U11" i="14" s="1"/>
  <c r="M23" i="14"/>
  <c r="M5" i="15"/>
  <c r="AF3" i="15" s="1"/>
  <c r="M4" i="17"/>
  <c r="M18" i="5"/>
  <c r="F15" i="6"/>
  <c r="F15" i="7" s="1"/>
  <c r="T4" i="8"/>
  <c r="M16" i="14"/>
  <c r="M20" i="14"/>
  <c r="M27" i="14"/>
  <c r="N27" i="14" s="1"/>
  <c r="U27" i="14" s="1"/>
  <c r="I3" i="16"/>
  <c r="D22" i="16"/>
  <c r="M20" i="17"/>
  <c r="D32" i="19"/>
  <c r="M16" i="23"/>
  <c r="G31" i="24"/>
  <c r="Z37" i="24" s="1"/>
  <c r="I15" i="10"/>
  <c r="D32" i="13"/>
  <c r="G31" i="15"/>
  <c r="Z37" i="15" s="1"/>
  <c r="H19" i="18"/>
  <c r="AA33" i="18" s="1"/>
  <c r="G23" i="21"/>
  <c r="Z34" i="21" s="1"/>
  <c r="L13" i="24"/>
  <c r="AE4" i="24" s="1"/>
  <c r="H27" i="24"/>
  <c r="AA36" i="24" s="1"/>
  <c r="D32" i="16"/>
  <c r="M18" i="17"/>
  <c r="N18" i="17" s="1"/>
  <c r="U18" i="17" s="1"/>
  <c r="M21" i="17"/>
  <c r="N21" i="17" s="1"/>
  <c r="U21" i="17" s="1"/>
  <c r="F31" i="21"/>
  <c r="F31" i="22" s="1"/>
  <c r="M21" i="23"/>
  <c r="AD7" i="24"/>
  <c r="D18" i="10"/>
  <c r="N10" i="11"/>
  <c r="U10" i="11" s="1"/>
  <c r="N17" i="11"/>
  <c r="U17" i="11" s="1"/>
  <c r="F27" i="12"/>
  <c r="F27" i="13" s="1"/>
  <c r="F23" i="15"/>
  <c r="AI16" i="15" s="1"/>
  <c r="H15" i="18"/>
  <c r="AA31" i="18" s="1"/>
  <c r="M20" i="20"/>
  <c r="D24" i="22"/>
  <c r="H27" i="21"/>
  <c r="AA36" i="21" s="1"/>
  <c r="V17" i="24"/>
  <c r="V17" i="25" s="1"/>
  <c r="M14" i="5"/>
  <c r="M11" i="5"/>
  <c r="N11" i="5" s="1"/>
  <c r="U11" i="5" s="1"/>
  <c r="M10" i="5"/>
  <c r="N10" i="5" s="1"/>
  <c r="U10" i="5" s="1"/>
  <c r="M8" i="5"/>
  <c r="M6" i="5"/>
  <c r="M4" i="5"/>
  <c r="M15" i="5"/>
  <c r="N15" i="5" s="1"/>
  <c r="U15" i="5" s="1"/>
  <c r="M3" i="5"/>
  <c r="T3" i="5" s="1"/>
  <c r="H15" i="22"/>
  <c r="R9" i="19"/>
  <c r="M8" i="14"/>
  <c r="T8" i="14" s="1"/>
  <c r="I7" i="10"/>
  <c r="F23" i="9"/>
  <c r="H19" i="15"/>
  <c r="D18" i="16"/>
  <c r="G23" i="18"/>
  <c r="D24" i="19"/>
  <c r="I19" i="10"/>
  <c r="F23" i="12"/>
  <c r="Y34" i="12" s="1"/>
  <c r="D22" i="13"/>
  <c r="N21" i="8"/>
  <c r="U21" i="8" s="1"/>
  <c r="F31" i="9"/>
  <c r="F31" i="10" s="1"/>
  <c r="N22" i="11"/>
  <c r="M29" i="15"/>
  <c r="L29" i="15"/>
  <c r="K29" i="15"/>
  <c r="N23" i="5"/>
  <c r="U23" i="5" s="1"/>
  <c r="T25" i="11"/>
  <c r="I19" i="13"/>
  <c r="N18" i="8"/>
  <c r="U18" i="8" s="1"/>
  <c r="F3" i="9"/>
  <c r="T16" i="5"/>
  <c r="T25" i="5"/>
  <c r="N27" i="5"/>
  <c r="U27" i="5" s="1"/>
  <c r="F11" i="6"/>
  <c r="F11" i="7" s="1"/>
  <c r="F31" i="6"/>
  <c r="F31" i="7" s="1"/>
  <c r="N23" i="8"/>
  <c r="U23" i="8" s="1"/>
  <c r="D14" i="10"/>
  <c r="N21" i="10"/>
  <c r="Y36" i="18"/>
  <c r="F27" i="19"/>
  <c r="M19" i="20"/>
  <c r="T19" i="20" s="1"/>
  <c r="F11" i="9"/>
  <c r="F11" i="10" s="1"/>
  <c r="D10" i="10"/>
  <c r="T27" i="8"/>
  <c r="N27" i="8"/>
  <c r="K5" i="9"/>
  <c r="K5" i="10" s="1"/>
  <c r="N5" i="10"/>
  <c r="S9" i="10"/>
  <c r="M29" i="18"/>
  <c r="L29" i="18"/>
  <c r="K29" i="18"/>
  <c r="I27" i="19"/>
  <c r="D6" i="10"/>
  <c r="D22" i="10"/>
  <c r="H19" i="21"/>
  <c r="D18" i="22"/>
  <c r="F3" i="15"/>
  <c r="F3" i="16" s="1"/>
  <c r="D2" i="16"/>
  <c r="H3" i="15"/>
  <c r="D2" i="10"/>
  <c r="F27" i="9"/>
  <c r="N16" i="11"/>
  <c r="U16" i="11" s="1"/>
  <c r="G3" i="15"/>
  <c r="G3" i="16" s="1"/>
  <c r="F27" i="15"/>
  <c r="D28" i="16"/>
  <c r="F3" i="21"/>
  <c r="F3" i="22" s="1"/>
  <c r="G3" i="21"/>
  <c r="G3" i="22" s="1"/>
  <c r="H3" i="21"/>
  <c r="D2" i="22"/>
  <c r="N24" i="5"/>
  <c r="U24" i="5" s="1"/>
  <c r="T15" i="11"/>
  <c r="N15" i="11"/>
  <c r="U15" i="11" s="1"/>
  <c r="M15" i="14"/>
  <c r="N15" i="14"/>
  <c r="U15" i="14" s="1"/>
  <c r="K13" i="9"/>
  <c r="I7" i="13"/>
  <c r="F11" i="15"/>
  <c r="F11" i="16" s="1"/>
  <c r="D10" i="16"/>
  <c r="Q25" i="15"/>
  <c r="N21" i="16"/>
  <c r="R25" i="15"/>
  <c r="AA28" i="18"/>
  <c r="H7" i="19"/>
  <c r="D6" i="19"/>
  <c r="F3" i="18"/>
  <c r="F3" i="19" s="1"/>
  <c r="H3" i="18"/>
  <c r="G3" i="18"/>
  <c r="G3" i="19" s="1"/>
  <c r="D2" i="19"/>
  <c r="AI16" i="21"/>
  <c r="F23" i="22"/>
  <c r="M29" i="21"/>
  <c r="K29" i="21"/>
  <c r="I27" i="22"/>
  <c r="M10" i="23"/>
  <c r="T10" i="23" s="1"/>
  <c r="N4" i="11"/>
  <c r="U4" i="11" s="1"/>
  <c r="N6" i="11"/>
  <c r="U6" i="11" s="1"/>
  <c r="N18" i="11"/>
  <c r="T23" i="11"/>
  <c r="F11" i="12"/>
  <c r="F11" i="13" s="1"/>
  <c r="D10" i="13"/>
  <c r="D24" i="13"/>
  <c r="M14" i="17"/>
  <c r="N14" i="17" s="1"/>
  <c r="U14" i="17" s="1"/>
  <c r="Z37" i="18"/>
  <c r="G31" i="19"/>
  <c r="N5" i="13"/>
  <c r="Q25" i="21"/>
  <c r="R25" i="21"/>
  <c r="F3" i="12"/>
  <c r="F3" i="13" s="1"/>
  <c r="D2" i="13"/>
  <c r="K29" i="12"/>
  <c r="AI9" i="12" s="1"/>
  <c r="R9" i="15"/>
  <c r="N5" i="16"/>
  <c r="L13" i="15"/>
  <c r="M13" i="15"/>
  <c r="M23" i="17"/>
  <c r="T23" i="17" s="1"/>
  <c r="H27" i="18"/>
  <c r="D26" i="19"/>
  <c r="V17" i="21"/>
  <c r="V17" i="22" s="1"/>
  <c r="S9" i="22"/>
  <c r="N21" i="22"/>
  <c r="M8" i="23"/>
  <c r="T8" i="23" s="1"/>
  <c r="M19" i="14"/>
  <c r="M21" i="14"/>
  <c r="N21" i="14" s="1"/>
  <c r="M3" i="20"/>
  <c r="T3" i="20" s="1"/>
  <c r="N16" i="20"/>
  <c r="U16" i="20" s="1"/>
  <c r="G7" i="21"/>
  <c r="D6" i="22"/>
  <c r="D26" i="22"/>
  <c r="N14" i="11"/>
  <c r="U14" i="11" s="1"/>
  <c r="N27" i="11"/>
  <c r="U27" i="11" s="1"/>
  <c r="F31" i="12"/>
  <c r="F31" i="13" s="1"/>
  <c r="D6" i="13"/>
  <c r="D14" i="13"/>
  <c r="G7" i="15"/>
  <c r="D6" i="16"/>
  <c r="AA34" i="15"/>
  <c r="H23" i="16"/>
  <c r="S9" i="16"/>
  <c r="L13" i="18"/>
  <c r="I11" i="19"/>
  <c r="M13" i="18"/>
  <c r="L5" i="21"/>
  <c r="L5" i="22" s="1"/>
  <c r="I3" i="22"/>
  <c r="M5" i="21"/>
  <c r="AF10" i="15"/>
  <c r="R33" i="15" s="1"/>
  <c r="R33" i="16" s="1"/>
  <c r="N29" i="16"/>
  <c r="Q25" i="18"/>
  <c r="R25" i="18"/>
  <c r="M16" i="20"/>
  <c r="T16" i="20" s="1"/>
  <c r="Y36" i="21"/>
  <c r="F27" i="22"/>
  <c r="M12" i="23"/>
  <c r="T12" i="23" s="1"/>
  <c r="H15" i="15"/>
  <c r="M27" i="20"/>
  <c r="T27" i="20" s="1"/>
  <c r="D30" i="22"/>
  <c r="N10" i="14"/>
  <c r="U10" i="14" s="1"/>
  <c r="K21" i="15"/>
  <c r="K21" i="16" s="1"/>
  <c r="G23" i="15"/>
  <c r="H27" i="15"/>
  <c r="F31" i="15"/>
  <c r="F31" i="16" s="1"/>
  <c r="D26" i="16"/>
  <c r="L13" i="21"/>
  <c r="M13" i="21"/>
  <c r="I11" i="22"/>
  <c r="G31" i="21"/>
  <c r="M4" i="23"/>
  <c r="N4" i="23" s="1"/>
  <c r="U4" i="23" s="1"/>
  <c r="N17" i="14"/>
  <c r="U17" i="14" s="1"/>
  <c r="N24" i="14"/>
  <c r="U24" i="14" s="1"/>
  <c r="K21" i="18"/>
  <c r="H23" i="18"/>
  <c r="F23" i="18"/>
  <c r="F31" i="18"/>
  <c r="F31" i="19" s="1"/>
  <c r="D30" i="19"/>
  <c r="D18" i="19"/>
  <c r="N22" i="20"/>
  <c r="U22" i="20" s="1"/>
  <c r="D14" i="22"/>
  <c r="M8" i="17"/>
  <c r="M5" i="18"/>
  <c r="N5" i="19"/>
  <c r="M6" i="20"/>
  <c r="N6" i="20" s="1"/>
  <c r="U6" i="20" s="1"/>
  <c r="M10" i="17"/>
  <c r="K21" i="21"/>
  <c r="K21" i="22" s="1"/>
  <c r="H23" i="21"/>
  <c r="AF10" i="21"/>
  <c r="R33" i="21" s="1"/>
  <c r="R33" i="22" s="1"/>
  <c r="N29" i="22"/>
  <c r="M27" i="17"/>
  <c r="L5" i="18"/>
  <c r="L5" i="19" s="1"/>
  <c r="AE10" i="18"/>
  <c r="Q33" i="18" s="1"/>
  <c r="Q33" i="19" s="1"/>
  <c r="F11" i="21"/>
  <c r="F11" i="22" s="1"/>
  <c r="AF10" i="24"/>
  <c r="R33" i="24" s="1"/>
  <c r="R33" i="25" s="1"/>
  <c r="D22" i="25"/>
  <c r="D26" i="25"/>
  <c r="F3" i="24"/>
  <c r="F3" i="25" s="1"/>
  <c r="R9" i="24"/>
  <c r="G11" i="24"/>
  <c r="F23" i="24"/>
  <c r="F31" i="24"/>
  <c r="F31" i="25" s="1"/>
  <c r="D2" i="25"/>
  <c r="D10" i="25"/>
  <c r="Q25" i="25"/>
  <c r="M21" i="20"/>
  <c r="R9" i="21"/>
  <c r="M19" i="23"/>
  <c r="N19" i="23" s="1"/>
  <c r="U19" i="23" s="1"/>
  <c r="L5" i="24"/>
  <c r="L5" i="25" s="1"/>
  <c r="G7" i="24"/>
  <c r="H15" i="24"/>
  <c r="H19" i="24"/>
  <c r="G23" i="24"/>
  <c r="F27" i="24"/>
  <c r="AI17" i="24" s="1"/>
  <c r="H23" i="25"/>
  <c r="M29" i="25"/>
  <c r="M5" i="25"/>
  <c r="N21" i="25"/>
  <c r="I27" i="25"/>
  <c r="N29" i="25"/>
  <c r="I3" i="25"/>
  <c r="N5" i="25"/>
  <c r="S9" i="25"/>
  <c r="I11" i="25"/>
  <c r="N27" i="23"/>
  <c r="U27" i="23" s="1"/>
  <c r="M13" i="24"/>
  <c r="K21" i="24"/>
  <c r="K21" i="25" s="1"/>
  <c r="R25" i="24"/>
  <c r="K13" i="6"/>
  <c r="AD4" i="6" s="1"/>
  <c r="K5" i="6"/>
  <c r="K5" i="7" s="1"/>
  <c r="N21" i="7"/>
  <c r="N5" i="7"/>
  <c r="I27" i="7"/>
  <c r="I19" i="7"/>
  <c r="I11" i="7"/>
  <c r="I3" i="7"/>
  <c r="D30" i="7"/>
  <c r="D26" i="7"/>
  <c r="F27" i="7"/>
  <c r="D22" i="7"/>
  <c r="F23" i="7"/>
  <c r="D18" i="7"/>
  <c r="D14" i="7"/>
  <c r="D10" i="7"/>
  <c r="D6" i="7"/>
  <c r="D2" i="7"/>
  <c r="F3" i="7"/>
  <c r="Y27" i="6"/>
  <c r="T8" i="5"/>
  <c r="N8" i="5"/>
  <c r="U8" i="5" s="1"/>
  <c r="N18" i="5"/>
  <c r="U18" i="5" s="1"/>
  <c r="T17" i="5"/>
  <c r="N13" i="5"/>
  <c r="U13" i="5" s="1"/>
  <c r="Y30" i="24"/>
  <c r="AI13" i="24"/>
  <c r="AI11" i="24"/>
  <c r="Y27" i="24"/>
  <c r="AI18" i="24"/>
  <c r="H7" i="24"/>
  <c r="W17" i="24"/>
  <c r="W17" i="25" s="1"/>
  <c r="H3" i="24"/>
  <c r="P9" i="24"/>
  <c r="AE9" i="24"/>
  <c r="Q31" i="24" s="1"/>
  <c r="Q31" i="25" s="1"/>
  <c r="AE10" i="24"/>
  <c r="Q33" i="24" s="1"/>
  <c r="Q33" i="25" s="1"/>
  <c r="H11" i="24"/>
  <c r="F15" i="24"/>
  <c r="F15" i="25" s="1"/>
  <c r="F19" i="24"/>
  <c r="F19" i="25" s="1"/>
  <c r="M21" i="24"/>
  <c r="G27" i="24"/>
  <c r="Z27" i="24"/>
  <c r="H31" i="24"/>
  <c r="L21" i="24"/>
  <c r="K5" i="24"/>
  <c r="K5" i="25" s="1"/>
  <c r="F7" i="24"/>
  <c r="F7" i="25" s="1"/>
  <c r="Q9" i="24"/>
  <c r="AF9" i="24"/>
  <c r="R31" i="24" s="1"/>
  <c r="R31" i="25" s="1"/>
  <c r="K13" i="24"/>
  <c r="G15" i="24"/>
  <c r="U17" i="24"/>
  <c r="U17" i="25" s="1"/>
  <c r="G19" i="24"/>
  <c r="P25" i="24"/>
  <c r="L29" i="24"/>
  <c r="T4" i="23"/>
  <c r="T6" i="23"/>
  <c r="M9" i="23"/>
  <c r="M24" i="23"/>
  <c r="N24" i="23" s="1"/>
  <c r="U24" i="23" s="1"/>
  <c r="N3" i="23"/>
  <c r="U3" i="23" s="1"/>
  <c r="N6" i="23"/>
  <c r="U6" i="23" s="1"/>
  <c r="M7" i="23"/>
  <c r="N7" i="23" s="1"/>
  <c r="U7" i="23" s="1"/>
  <c r="M18" i="23"/>
  <c r="M23" i="23"/>
  <c r="N23" i="23" s="1"/>
  <c r="U23" i="23" s="1"/>
  <c r="M5" i="23"/>
  <c r="M14" i="23"/>
  <c r="T21" i="23"/>
  <c r="N21" i="23"/>
  <c r="U21" i="23" s="1"/>
  <c r="T16" i="23"/>
  <c r="N16" i="23"/>
  <c r="U16" i="23" s="1"/>
  <c r="T17" i="23"/>
  <c r="N17" i="23"/>
  <c r="U17" i="23" s="1"/>
  <c r="T20" i="23"/>
  <c r="N20" i="23"/>
  <c r="U20" i="23" s="1"/>
  <c r="N22" i="23"/>
  <c r="U22" i="23" s="1"/>
  <c r="M13" i="23"/>
  <c r="M11" i="23"/>
  <c r="M15" i="23"/>
  <c r="M25" i="23"/>
  <c r="M26" i="23"/>
  <c r="AI18" i="21"/>
  <c r="Y37" i="21"/>
  <c r="Y30" i="21"/>
  <c r="AI13" i="21"/>
  <c r="AD6" i="21"/>
  <c r="H7" i="21"/>
  <c r="W17" i="21"/>
  <c r="W17" i="22" s="1"/>
  <c r="L21" i="21"/>
  <c r="P9" i="21"/>
  <c r="AE9" i="21"/>
  <c r="Q31" i="21" s="1"/>
  <c r="Q31" i="22" s="1"/>
  <c r="AE10" i="21"/>
  <c r="Q33" i="21" s="1"/>
  <c r="Q33" i="22" s="1"/>
  <c r="H11" i="21"/>
  <c r="F15" i="21"/>
  <c r="F15" i="22" s="1"/>
  <c r="F19" i="21"/>
  <c r="F19" i="22" s="1"/>
  <c r="M21" i="21"/>
  <c r="G27" i="21"/>
  <c r="H31" i="21"/>
  <c r="K5" i="21"/>
  <c r="K5" i="22" s="1"/>
  <c r="F7" i="21"/>
  <c r="F7" i="22" s="1"/>
  <c r="Q9" i="21"/>
  <c r="AF9" i="21"/>
  <c r="R31" i="21" s="1"/>
  <c r="R31" i="22" s="1"/>
  <c r="K13" i="21"/>
  <c r="G15" i="21"/>
  <c r="U17" i="21"/>
  <c r="U17" i="22" s="1"/>
  <c r="G19" i="21"/>
  <c r="P25" i="21"/>
  <c r="L29" i="21"/>
  <c r="Y34" i="21"/>
  <c r="G11" i="21"/>
  <c r="AI17" i="21"/>
  <c r="T21" i="20"/>
  <c r="N21" i="20"/>
  <c r="U21" i="20" s="1"/>
  <c r="T4" i="20"/>
  <c r="N4" i="20"/>
  <c r="U4" i="20" s="1"/>
  <c r="M10" i="20"/>
  <c r="N10" i="20" s="1"/>
  <c r="U10" i="20" s="1"/>
  <c r="M8" i="20"/>
  <c r="M12" i="20"/>
  <c r="N12" i="20" s="1"/>
  <c r="U12" i="20" s="1"/>
  <c r="M18" i="20"/>
  <c r="N18" i="20" s="1"/>
  <c r="U18" i="20" s="1"/>
  <c r="M5" i="20"/>
  <c r="N5" i="20" s="1"/>
  <c r="U5" i="20" s="1"/>
  <c r="M7" i="20"/>
  <c r="N7" i="20" s="1"/>
  <c r="U7" i="20" s="1"/>
  <c r="M9" i="20"/>
  <c r="N9" i="20" s="1"/>
  <c r="U9" i="20" s="1"/>
  <c r="T17" i="20"/>
  <c r="N19" i="20"/>
  <c r="U19" i="20" s="1"/>
  <c r="M13" i="20"/>
  <c r="N13" i="20"/>
  <c r="U13" i="20" s="1"/>
  <c r="M14" i="20"/>
  <c r="M24" i="20"/>
  <c r="N24" i="20" s="1"/>
  <c r="U24" i="20" s="1"/>
  <c r="M23" i="20"/>
  <c r="N23" i="20" s="1"/>
  <c r="U23" i="20" s="1"/>
  <c r="M11" i="20"/>
  <c r="M15" i="20"/>
  <c r="M25" i="20"/>
  <c r="M26" i="20"/>
  <c r="F11" i="18"/>
  <c r="F11" i="19" s="1"/>
  <c r="H11" i="18"/>
  <c r="G11" i="18"/>
  <c r="Y27" i="18"/>
  <c r="G7" i="18"/>
  <c r="F7" i="18"/>
  <c r="F7" i="19" s="1"/>
  <c r="V17" i="18"/>
  <c r="V17" i="19" s="1"/>
  <c r="W17" i="18"/>
  <c r="W17" i="19" s="1"/>
  <c r="U17" i="18"/>
  <c r="U17" i="19" s="1"/>
  <c r="F15" i="18"/>
  <c r="F15" i="19" s="1"/>
  <c r="M21" i="18"/>
  <c r="G27" i="18"/>
  <c r="K5" i="18"/>
  <c r="K5" i="19" s="1"/>
  <c r="Q9" i="18"/>
  <c r="AF9" i="18"/>
  <c r="R31" i="18" s="1"/>
  <c r="R31" i="19" s="1"/>
  <c r="AF10" i="18"/>
  <c r="R33" i="18" s="1"/>
  <c r="R33" i="19" s="1"/>
  <c r="K13" i="18"/>
  <c r="G15" i="18"/>
  <c r="G19" i="18"/>
  <c r="P25" i="18"/>
  <c r="P25" i="19" s="1"/>
  <c r="L21" i="18"/>
  <c r="P9" i="18"/>
  <c r="AE9" i="18"/>
  <c r="Q31" i="18" s="1"/>
  <c r="Q31" i="19" s="1"/>
  <c r="F19" i="18"/>
  <c r="F19" i="19" s="1"/>
  <c r="H31" i="18"/>
  <c r="AI17" i="18"/>
  <c r="T21" i="17"/>
  <c r="T6" i="17"/>
  <c r="T4" i="17"/>
  <c r="T3" i="17"/>
  <c r="T20" i="17"/>
  <c r="T24" i="17"/>
  <c r="M25" i="17"/>
  <c r="M5" i="17"/>
  <c r="M7" i="17"/>
  <c r="N7" i="17" s="1"/>
  <c r="U7" i="17" s="1"/>
  <c r="N4" i="17"/>
  <c r="U4" i="17" s="1"/>
  <c r="N6" i="17"/>
  <c r="U6" i="17" s="1"/>
  <c r="N24" i="17"/>
  <c r="U24" i="17" s="1"/>
  <c r="M9" i="17"/>
  <c r="M15" i="17"/>
  <c r="N15" i="17"/>
  <c r="U15" i="17" s="1"/>
  <c r="N3" i="17"/>
  <c r="U3" i="17" s="1"/>
  <c r="T18" i="17"/>
  <c r="N20" i="17"/>
  <c r="U20" i="17" s="1"/>
  <c r="M12" i="17"/>
  <c r="M13" i="17"/>
  <c r="N13" i="17" s="1"/>
  <c r="U13" i="17" s="1"/>
  <c r="T16" i="17"/>
  <c r="N16" i="17"/>
  <c r="U16" i="17" s="1"/>
  <c r="T22" i="17"/>
  <c r="M26" i="17"/>
  <c r="N26" i="17" s="1"/>
  <c r="U26" i="17" s="1"/>
  <c r="M11" i="17"/>
  <c r="T17" i="17"/>
  <c r="N17" i="17"/>
  <c r="U17" i="17" s="1"/>
  <c r="T19" i="17"/>
  <c r="N19" i="17"/>
  <c r="U19" i="17" s="1"/>
  <c r="AE3" i="15"/>
  <c r="AE17" i="15"/>
  <c r="AE16" i="15"/>
  <c r="AI11" i="15"/>
  <c r="Y27" i="15"/>
  <c r="AD6" i="15"/>
  <c r="AI13" i="15"/>
  <c r="Y30" i="15"/>
  <c r="H7" i="15"/>
  <c r="G11" i="15"/>
  <c r="P9" i="15"/>
  <c r="AE9" i="15"/>
  <c r="Q31" i="15" s="1"/>
  <c r="Q31" i="16" s="1"/>
  <c r="AE10" i="15"/>
  <c r="Q33" i="15" s="1"/>
  <c r="Q33" i="16" s="1"/>
  <c r="H11" i="15"/>
  <c r="F15" i="15"/>
  <c r="F15" i="16" s="1"/>
  <c r="F19" i="15"/>
  <c r="F19" i="16" s="1"/>
  <c r="M21" i="15"/>
  <c r="G27" i="15"/>
  <c r="H31" i="15"/>
  <c r="K5" i="15"/>
  <c r="K5" i="16" s="1"/>
  <c r="F7" i="15"/>
  <c r="F7" i="16" s="1"/>
  <c r="Q9" i="15"/>
  <c r="AF9" i="15"/>
  <c r="R31" i="15" s="1"/>
  <c r="R31" i="16" s="1"/>
  <c r="K13" i="15"/>
  <c r="G15" i="15"/>
  <c r="U17" i="15"/>
  <c r="U17" i="16" s="1"/>
  <c r="G19" i="15"/>
  <c r="P25" i="15"/>
  <c r="Y34" i="15"/>
  <c r="W17" i="15"/>
  <c r="W17" i="16" s="1"/>
  <c r="L21" i="15"/>
  <c r="AI17" i="15"/>
  <c r="M3" i="14"/>
  <c r="T16" i="14"/>
  <c r="N16" i="14"/>
  <c r="U16" i="14" s="1"/>
  <c r="T20" i="14"/>
  <c r="N20" i="14"/>
  <c r="U20" i="14" s="1"/>
  <c r="T21" i="14"/>
  <c r="T23" i="14"/>
  <c r="M4" i="14"/>
  <c r="M6" i="14"/>
  <c r="N6" i="14" s="1"/>
  <c r="U6" i="14" s="1"/>
  <c r="T11" i="14"/>
  <c r="T15" i="14"/>
  <c r="T17" i="14"/>
  <c r="T22" i="14"/>
  <c r="N22" i="14"/>
  <c r="U22" i="14" s="1"/>
  <c r="T25" i="14"/>
  <c r="M5" i="14"/>
  <c r="N5" i="14" s="1"/>
  <c r="U5" i="14" s="1"/>
  <c r="M7" i="14"/>
  <c r="M9" i="14"/>
  <c r="M12" i="14"/>
  <c r="N12" i="14" s="1"/>
  <c r="U12" i="14" s="1"/>
  <c r="T14" i="14"/>
  <c r="N14" i="14"/>
  <c r="U14" i="14" s="1"/>
  <c r="T18" i="14"/>
  <c r="N18" i="14"/>
  <c r="U18" i="14" s="1"/>
  <c r="N19" i="14"/>
  <c r="U19" i="14" s="1"/>
  <c r="N23" i="14"/>
  <c r="U23" i="14" s="1"/>
  <c r="T24" i="14"/>
  <c r="M26" i="14"/>
  <c r="N26" i="14" s="1"/>
  <c r="U26" i="14" s="1"/>
  <c r="T27" i="14"/>
  <c r="T13" i="14"/>
  <c r="T19" i="14"/>
  <c r="N25" i="14"/>
  <c r="U25" i="14" s="1"/>
  <c r="AI18" i="12"/>
  <c r="AI11" i="12"/>
  <c r="AD6" i="12"/>
  <c r="P9" i="12"/>
  <c r="F15" i="12"/>
  <c r="F15" i="13" s="1"/>
  <c r="F19" i="12"/>
  <c r="F19" i="13" s="1"/>
  <c r="K5" i="12"/>
  <c r="K5" i="13" s="1"/>
  <c r="F7" i="12"/>
  <c r="F7" i="13" s="1"/>
  <c r="K13" i="12"/>
  <c r="U17" i="12"/>
  <c r="U17" i="13" s="1"/>
  <c r="P25" i="12"/>
  <c r="AI17" i="12"/>
  <c r="T8" i="11"/>
  <c r="T10" i="11"/>
  <c r="T3" i="11"/>
  <c r="N3" i="11"/>
  <c r="U3" i="11" s="1"/>
  <c r="N8" i="11"/>
  <c r="U8" i="11" s="1"/>
  <c r="T14" i="11"/>
  <c r="N20" i="11"/>
  <c r="U20" i="11" s="1"/>
  <c r="T13" i="11"/>
  <c r="T24" i="11"/>
  <c r="T20" i="11"/>
  <c r="N26" i="11"/>
  <c r="U26" i="11" s="1"/>
  <c r="N13" i="11"/>
  <c r="U13" i="11" s="1"/>
  <c r="N24" i="11"/>
  <c r="U24" i="11" s="1"/>
  <c r="N19" i="11"/>
  <c r="U19" i="11" s="1"/>
  <c r="N21" i="11"/>
  <c r="U21" i="11" s="1"/>
  <c r="AD3" i="9"/>
  <c r="AD6" i="9"/>
  <c r="P9" i="9"/>
  <c r="F15" i="9"/>
  <c r="F15" i="10" s="1"/>
  <c r="F19" i="9"/>
  <c r="F19" i="10" s="1"/>
  <c r="K29" i="9"/>
  <c r="F7" i="9"/>
  <c r="F7" i="10" s="1"/>
  <c r="U17" i="9"/>
  <c r="U17" i="10" s="1"/>
  <c r="P25" i="9"/>
  <c r="T10" i="8"/>
  <c r="N10" i="8"/>
  <c r="U10" i="8" s="1"/>
  <c r="N13" i="8"/>
  <c r="U13" i="8" s="1"/>
  <c r="T16" i="8"/>
  <c r="T17" i="8"/>
  <c r="N17" i="8"/>
  <c r="U17" i="8" s="1"/>
  <c r="T24" i="8"/>
  <c r="N25" i="8"/>
  <c r="U25" i="8" s="1"/>
  <c r="N7" i="8"/>
  <c r="U7" i="8" s="1"/>
  <c r="T7" i="8"/>
  <c r="N16" i="8"/>
  <c r="U16" i="8" s="1"/>
  <c r="N24" i="8"/>
  <c r="U24" i="8" s="1"/>
  <c r="U27" i="8"/>
  <c r="N11" i="8"/>
  <c r="U11" i="8" s="1"/>
  <c r="T20" i="8"/>
  <c r="T14" i="8"/>
  <c r="N3" i="8"/>
  <c r="U3" i="8" s="1"/>
  <c r="N15" i="8"/>
  <c r="U15" i="8" s="1"/>
  <c r="T18" i="8"/>
  <c r="T19" i="8"/>
  <c r="N19" i="8"/>
  <c r="U19" i="8" s="1"/>
  <c r="N20" i="8"/>
  <c r="U20" i="8" s="1"/>
  <c r="N12" i="8"/>
  <c r="U12" i="8" s="1"/>
  <c r="T22" i="8"/>
  <c r="AI13" i="6"/>
  <c r="Y31" i="6"/>
  <c r="AI14" i="6"/>
  <c r="F19" i="6"/>
  <c r="F19" i="7" s="1"/>
  <c r="K29" i="6"/>
  <c r="AI9" i="6" s="1"/>
  <c r="F7" i="6"/>
  <c r="F7" i="7" s="1"/>
  <c r="Y34" i="6"/>
  <c r="AI17" i="6"/>
  <c r="T14" i="5"/>
  <c r="N14" i="5"/>
  <c r="U14" i="5" s="1"/>
  <c r="T18" i="5"/>
  <c r="N20" i="5"/>
  <c r="U20" i="5" s="1"/>
  <c r="T24" i="5"/>
  <c r="T22" i="5"/>
  <c r="N7" i="5"/>
  <c r="U7" i="5" s="1"/>
  <c r="T13" i="5"/>
  <c r="N22" i="5"/>
  <c r="U22" i="5" s="1"/>
  <c r="N26" i="5"/>
  <c r="U26" i="5" s="1"/>
  <c r="T27" i="5"/>
  <c r="T11" i="5"/>
  <c r="T20" i="5"/>
  <c r="N19" i="5"/>
  <c r="U19" i="5" s="1"/>
  <c r="N21" i="5"/>
  <c r="U21" i="5" s="1"/>
  <c r="D32" i="3"/>
  <c r="D32" i="4" s="1"/>
  <c r="I31" i="3"/>
  <c r="I31" i="4" s="1"/>
  <c r="D30" i="3"/>
  <c r="D30" i="4" s="1"/>
  <c r="N29" i="3"/>
  <c r="D28" i="3"/>
  <c r="D28" i="4" s="1"/>
  <c r="I27" i="3"/>
  <c r="I27" i="4" s="1"/>
  <c r="D26" i="3"/>
  <c r="D26" i="4" s="1"/>
  <c r="Y25" i="3"/>
  <c r="S25" i="3"/>
  <c r="S25" i="4" s="1"/>
  <c r="Y24" i="3"/>
  <c r="D24" i="3"/>
  <c r="D24" i="4" s="1"/>
  <c r="I23" i="3"/>
  <c r="I23" i="4" s="1"/>
  <c r="Y22" i="3"/>
  <c r="D22" i="3"/>
  <c r="D22" i="4" s="1"/>
  <c r="Y21" i="3"/>
  <c r="N21" i="3"/>
  <c r="N21" i="4" s="1"/>
  <c r="D20" i="3"/>
  <c r="D20" i="4" s="1"/>
  <c r="Y19" i="3"/>
  <c r="I19" i="3"/>
  <c r="I19" i="4" s="1"/>
  <c r="Y18" i="3"/>
  <c r="D18" i="3"/>
  <c r="D18" i="4" s="1"/>
  <c r="Y16" i="3"/>
  <c r="D16" i="3"/>
  <c r="D16" i="4" s="1"/>
  <c r="Y15" i="3"/>
  <c r="I15" i="3"/>
  <c r="I15" i="4" s="1"/>
  <c r="D14" i="3"/>
  <c r="D14" i="4" s="1"/>
  <c r="Y13" i="3"/>
  <c r="N13" i="3"/>
  <c r="Y12" i="3"/>
  <c r="D12" i="3"/>
  <c r="D12" i="4" s="1"/>
  <c r="I11" i="3"/>
  <c r="I11" i="4" s="1"/>
  <c r="Y10" i="3"/>
  <c r="D10" i="3"/>
  <c r="D10" i="4" s="1"/>
  <c r="Y9" i="3"/>
  <c r="S9" i="3"/>
  <c r="S9" i="4" s="1"/>
  <c r="D8" i="3"/>
  <c r="D8" i="4" s="1"/>
  <c r="Y7" i="3"/>
  <c r="I7" i="3"/>
  <c r="I7" i="4" s="1"/>
  <c r="Y6" i="3"/>
  <c r="D6" i="3"/>
  <c r="D6" i="4" s="1"/>
  <c r="N5" i="3"/>
  <c r="N5" i="4" s="1"/>
  <c r="Y4" i="3"/>
  <c r="D4" i="3"/>
  <c r="D4" i="4" s="1"/>
  <c r="Y3" i="3"/>
  <c r="I3" i="3"/>
  <c r="I3" i="4" s="1"/>
  <c r="D2" i="3"/>
  <c r="D2" i="4" s="1"/>
  <c r="H15" i="19" l="1"/>
  <c r="Y37" i="12"/>
  <c r="Y36" i="12"/>
  <c r="T17" i="11"/>
  <c r="N11" i="11"/>
  <c r="U11" i="11" s="1"/>
  <c r="T18" i="11"/>
  <c r="T16" i="11"/>
  <c r="T22" i="11"/>
  <c r="H27" i="25"/>
  <c r="L13" i="25"/>
  <c r="Y37" i="9"/>
  <c r="AI18" i="9"/>
  <c r="Y30" i="9"/>
  <c r="T8" i="8"/>
  <c r="M5" i="16"/>
  <c r="AE16" i="24"/>
  <c r="G31" i="25"/>
  <c r="H27" i="22"/>
  <c r="AE17" i="24"/>
  <c r="G31" i="16"/>
  <c r="G23" i="22"/>
  <c r="H19" i="19"/>
  <c r="N10" i="23"/>
  <c r="U10" i="23" s="1"/>
  <c r="T10" i="5"/>
  <c r="Y37" i="15"/>
  <c r="T14" i="17"/>
  <c r="AI18" i="15"/>
  <c r="AI9" i="15"/>
  <c r="AJ9" i="15" s="1"/>
  <c r="T21" i="8"/>
  <c r="AI9" i="21"/>
  <c r="AK9" i="21" s="1"/>
  <c r="N23" i="11"/>
  <c r="U23" i="11" s="1"/>
  <c r="F23" i="16"/>
  <c r="N12" i="23"/>
  <c r="N20" i="20"/>
  <c r="U20" i="20" s="1"/>
  <c r="T20" i="20"/>
  <c r="N27" i="20"/>
  <c r="U27" i="20" s="1"/>
  <c r="AI9" i="9"/>
  <c r="AI7" i="6"/>
  <c r="Y30" i="6"/>
  <c r="Y37" i="6"/>
  <c r="AI18" i="6"/>
  <c r="K13" i="7"/>
  <c r="AD3" i="6"/>
  <c r="P9" i="6"/>
  <c r="AD12" i="6" s="1"/>
  <c r="T15" i="5"/>
  <c r="AE16" i="21"/>
  <c r="Z27" i="15"/>
  <c r="AE17" i="21"/>
  <c r="AE26" i="15"/>
  <c r="AE3" i="24"/>
  <c r="AE28" i="15"/>
  <c r="AF25" i="24"/>
  <c r="AE3" i="21"/>
  <c r="AF25" i="15"/>
  <c r="AE3" i="18"/>
  <c r="Z27" i="18"/>
  <c r="U18" i="11"/>
  <c r="U21" i="14"/>
  <c r="U22" i="11"/>
  <c r="Z30" i="18"/>
  <c r="G11" i="19"/>
  <c r="AE7" i="21"/>
  <c r="L29" i="22"/>
  <c r="AF13" i="24"/>
  <c r="R25" i="25"/>
  <c r="AD4" i="9"/>
  <c r="K13" i="10"/>
  <c r="AF6" i="18"/>
  <c r="M21" i="19"/>
  <c r="AI16" i="18"/>
  <c r="F23" i="19"/>
  <c r="AA27" i="21"/>
  <c r="H3" i="22"/>
  <c r="AA33" i="15"/>
  <c r="H19" i="16"/>
  <c r="AA30" i="15"/>
  <c r="H11" i="16"/>
  <c r="AA30" i="18"/>
  <c r="H11" i="19"/>
  <c r="AA30" i="24"/>
  <c r="H11" i="25"/>
  <c r="AF13" i="18"/>
  <c r="R25" i="19"/>
  <c r="Z33" i="15"/>
  <c r="G19" i="16"/>
  <c r="AD4" i="18"/>
  <c r="K13" i="19"/>
  <c r="Z33" i="24"/>
  <c r="G19" i="25"/>
  <c r="Z34" i="24"/>
  <c r="G23" i="25"/>
  <c r="Z30" i="24"/>
  <c r="G11" i="25"/>
  <c r="K21" i="19"/>
  <c r="AD6" i="18"/>
  <c r="AF4" i="15"/>
  <c r="M13" i="16"/>
  <c r="AF7" i="21"/>
  <c r="M29" i="22"/>
  <c r="AF7" i="18"/>
  <c r="M29" i="19"/>
  <c r="AF7" i="15"/>
  <c r="M29" i="16"/>
  <c r="AD13" i="9"/>
  <c r="P25" i="10"/>
  <c r="AD13" i="12"/>
  <c r="P25" i="13"/>
  <c r="AE30" i="15"/>
  <c r="Y37" i="18"/>
  <c r="T6" i="20"/>
  <c r="Z31" i="21"/>
  <c r="G15" i="22"/>
  <c r="Z36" i="21"/>
  <c r="G27" i="22"/>
  <c r="AE6" i="21"/>
  <c r="L21" i="22"/>
  <c r="AA37" i="24"/>
  <c r="H31" i="25"/>
  <c r="AD6" i="24"/>
  <c r="AA33" i="24"/>
  <c r="H19" i="25"/>
  <c r="AF12" i="24"/>
  <c r="R9" i="25"/>
  <c r="Z28" i="15"/>
  <c r="G7" i="16"/>
  <c r="AE4" i="15"/>
  <c r="L13" i="16"/>
  <c r="AA27" i="15"/>
  <c r="H3" i="16"/>
  <c r="AA33" i="21"/>
  <c r="H19" i="22"/>
  <c r="AD4" i="12"/>
  <c r="K13" i="13"/>
  <c r="AE12" i="15"/>
  <c r="Q9" i="16"/>
  <c r="Z36" i="18"/>
  <c r="G27" i="19"/>
  <c r="AE12" i="24"/>
  <c r="Q9" i="25"/>
  <c r="Z33" i="18"/>
  <c r="G19" i="19"/>
  <c r="AF12" i="21"/>
  <c r="R9" i="22"/>
  <c r="AF4" i="21"/>
  <c r="M13" i="22"/>
  <c r="N8" i="23"/>
  <c r="U8" i="23" s="1"/>
  <c r="AD7" i="18"/>
  <c r="K29" i="19"/>
  <c r="AI11" i="9"/>
  <c r="F3" i="10"/>
  <c r="Y27" i="9"/>
  <c r="AI6" i="18"/>
  <c r="AA37" i="21"/>
  <c r="H31" i="22"/>
  <c r="T19" i="23"/>
  <c r="AD13" i="24"/>
  <c r="P25" i="25"/>
  <c r="Y36" i="24"/>
  <c r="F27" i="25"/>
  <c r="AI16" i="24"/>
  <c r="F23" i="25"/>
  <c r="AF3" i="18"/>
  <c r="M5" i="19"/>
  <c r="AF3" i="21"/>
  <c r="M5" i="22"/>
  <c r="L29" i="19"/>
  <c r="AE7" i="18"/>
  <c r="AI16" i="9"/>
  <c r="F23" i="10"/>
  <c r="AI17" i="9"/>
  <c r="AE28" i="24"/>
  <c r="AI6" i="6"/>
  <c r="AI6" i="9"/>
  <c r="Y30" i="12"/>
  <c r="AE6" i="15"/>
  <c r="L21" i="16"/>
  <c r="Z31" i="15"/>
  <c r="G15" i="16"/>
  <c r="AD12" i="15"/>
  <c r="P9" i="16"/>
  <c r="AD12" i="18"/>
  <c r="P9" i="19"/>
  <c r="AI18" i="18"/>
  <c r="Z30" i="21"/>
  <c r="G11" i="22"/>
  <c r="AD4" i="21"/>
  <c r="K13" i="22"/>
  <c r="AF6" i="21"/>
  <c r="M21" i="22"/>
  <c r="AI9" i="24"/>
  <c r="AJ9" i="24" s="1"/>
  <c r="Z31" i="24"/>
  <c r="G15" i="25"/>
  <c r="AD12" i="24"/>
  <c r="P9" i="25"/>
  <c r="AA31" i="24"/>
  <c r="H15" i="25"/>
  <c r="T10" i="17"/>
  <c r="N10" i="17"/>
  <c r="AA36" i="15"/>
  <c r="H27" i="16"/>
  <c r="AA31" i="15"/>
  <c r="H15" i="16"/>
  <c r="AF4" i="18"/>
  <c r="M13" i="19"/>
  <c r="AF13" i="21"/>
  <c r="R25" i="22"/>
  <c r="Y36" i="15"/>
  <c r="F27" i="16"/>
  <c r="N25" i="5"/>
  <c r="AD12" i="9"/>
  <c r="P9" i="10"/>
  <c r="Z28" i="18"/>
  <c r="G7" i="19"/>
  <c r="AE7" i="24"/>
  <c r="L29" i="25"/>
  <c r="T27" i="17"/>
  <c r="N27" i="17"/>
  <c r="U27" i="17" s="1"/>
  <c r="K29" i="13"/>
  <c r="AD7" i="12"/>
  <c r="AA27" i="18"/>
  <c r="H3" i="19"/>
  <c r="AD13" i="21"/>
  <c r="P25" i="22"/>
  <c r="AA37" i="18"/>
  <c r="H31" i="19"/>
  <c r="Z33" i="21"/>
  <c r="G19" i="22"/>
  <c r="AE20" i="21"/>
  <c r="AA34" i="18"/>
  <c r="H23" i="19"/>
  <c r="N3" i="20"/>
  <c r="U3" i="20" s="1"/>
  <c r="AD7" i="21"/>
  <c r="K29" i="22"/>
  <c r="L29" i="16"/>
  <c r="AE7" i="15"/>
  <c r="AA37" i="15"/>
  <c r="H31" i="16"/>
  <c r="AD12" i="21"/>
  <c r="P9" i="22"/>
  <c r="AE6" i="24"/>
  <c r="L21" i="25"/>
  <c r="T8" i="17"/>
  <c r="N8" i="17"/>
  <c r="AE13" i="18"/>
  <c r="Q25" i="19"/>
  <c r="AI16" i="12"/>
  <c r="F23" i="13"/>
  <c r="AI13" i="12"/>
  <c r="AD4" i="15"/>
  <c r="K13" i="16"/>
  <c r="Z36" i="15"/>
  <c r="G27" i="16"/>
  <c r="Z30" i="15"/>
  <c r="G11" i="16"/>
  <c r="AE6" i="18"/>
  <c r="L21" i="19"/>
  <c r="AE12" i="18"/>
  <c r="Q9" i="19"/>
  <c r="AA28" i="21"/>
  <c r="H7" i="22"/>
  <c r="Y27" i="21"/>
  <c r="Y34" i="24"/>
  <c r="AD4" i="24"/>
  <c r="K13" i="25"/>
  <c r="Z36" i="24"/>
  <c r="G27" i="25"/>
  <c r="AA27" i="24"/>
  <c r="H3" i="25"/>
  <c r="Z28" i="24"/>
  <c r="G7" i="25"/>
  <c r="Z34" i="15"/>
  <c r="G23" i="16"/>
  <c r="AA36" i="18"/>
  <c r="H27" i="19"/>
  <c r="AF12" i="15"/>
  <c r="R9" i="16"/>
  <c r="AE13" i="21"/>
  <c r="Q25" i="22"/>
  <c r="AA30" i="21"/>
  <c r="H11" i="22"/>
  <c r="AA28" i="24"/>
  <c r="H7" i="25"/>
  <c r="Y36" i="9"/>
  <c r="F27" i="10"/>
  <c r="AI9" i="18"/>
  <c r="AE13" i="15"/>
  <c r="Q25" i="16"/>
  <c r="K29" i="16"/>
  <c r="AD7" i="15"/>
  <c r="AD13" i="15"/>
  <c r="P25" i="16"/>
  <c r="Z31" i="18"/>
  <c r="G15" i="19"/>
  <c r="N3" i="5"/>
  <c r="U3" i="5" s="1"/>
  <c r="AF4" i="24"/>
  <c r="M13" i="25"/>
  <c r="AE4" i="21"/>
  <c r="L13" i="22"/>
  <c r="AI11" i="18"/>
  <c r="Z27" i="21"/>
  <c r="AA34" i="21"/>
  <c r="H23" i="22"/>
  <c r="N16" i="5"/>
  <c r="U16" i="5" s="1"/>
  <c r="T23" i="5"/>
  <c r="Y34" i="9"/>
  <c r="AD7" i="9"/>
  <c r="K29" i="10"/>
  <c r="AI13" i="9"/>
  <c r="T27" i="11"/>
  <c r="AD12" i="12"/>
  <c r="P9" i="13"/>
  <c r="Y27" i="12"/>
  <c r="AF6" i="15"/>
  <c r="M21" i="16"/>
  <c r="AA28" i="15"/>
  <c r="H7" i="16"/>
  <c r="Y34" i="18"/>
  <c r="AF30" i="21"/>
  <c r="AE12" i="21"/>
  <c r="Q9" i="22"/>
  <c r="AI11" i="21"/>
  <c r="AE31" i="24"/>
  <c r="AF6" i="24"/>
  <c r="M21" i="25"/>
  <c r="Y37" i="24"/>
  <c r="Z37" i="21"/>
  <c r="G31" i="22"/>
  <c r="AE4" i="18"/>
  <c r="L13" i="19"/>
  <c r="Z28" i="21"/>
  <c r="G7" i="22"/>
  <c r="N23" i="17"/>
  <c r="U23" i="17" s="1"/>
  <c r="AF13" i="15"/>
  <c r="R25" i="16"/>
  <c r="N25" i="11"/>
  <c r="Z34" i="18"/>
  <c r="G23" i="19"/>
  <c r="N8" i="14"/>
  <c r="K21" i="6"/>
  <c r="AI8" i="6" s="1"/>
  <c r="AD7" i="6"/>
  <c r="K29" i="7"/>
  <c r="N17" i="5"/>
  <c r="U17" i="5" s="1"/>
  <c r="AF30" i="24"/>
  <c r="AE26" i="24"/>
  <c r="AF26" i="24"/>
  <c r="AF28" i="24"/>
  <c r="AE29" i="24"/>
  <c r="AF24" i="24"/>
  <c r="AE20" i="24"/>
  <c r="AE22" i="24"/>
  <c r="AF22" i="24"/>
  <c r="AD10" i="24"/>
  <c r="P33" i="24" s="1"/>
  <c r="P33" i="25" s="1"/>
  <c r="AF27" i="24"/>
  <c r="AF23" i="24"/>
  <c r="AE23" i="24"/>
  <c r="AI7" i="24"/>
  <c r="AI12" i="24"/>
  <c r="Y28" i="24"/>
  <c r="AI8" i="24"/>
  <c r="AI15" i="24"/>
  <c r="Y33" i="24"/>
  <c r="AF17" i="24"/>
  <c r="AF16" i="24"/>
  <c r="AF20" i="24"/>
  <c r="AE27" i="24"/>
  <c r="AE24" i="24"/>
  <c r="AF29" i="24"/>
  <c r="AD9" i="24"/>
  <c r="AD3" i="24"/>
  <c r="AE30" i="24"/>
  <c r="AE25" i="24"/>
  <c r="Y31" i="24"/>
  <c r="AI14" i="24"/>
  <c r="AE21" i="24"/>
  <c r="AF21" i="24"/>
  <c r="AF31" i="24"/>
  <c r="AI6" i="24"/>
  <c r="T25" i="23"/>
  <c r="N25" i="23"/>
  <c r="U25" i="23" s="1"/>
  <c r="T13" i="23"/>
  <c r="N13" i="23"/>
  <c r="U13" i="23" s="1"/>
  <c r="T5" i="23"/>
  <c r="T15" i="23"/>
  <c r="N15" i="23"/>
  <c r="U15" i="23" s="1"/>
  <c r="U12" i="23"/>
  <c r="T18" i="23"/>
  <c r="T9" i="23"/>
  <c r="T11" i="23"/>
  <c r="T14" i="23"/>
  <c r="N18" i="23"/>
  <c r="U18" i="23" s="1"/>
  <c r="N9" i="23"/>
  <c r="U9" i="23" s="1"/>
  <c r="T26" i="23"/>
  <c r="N26" i="23"/>
  <c r="U26" i="23" s="1"/>
  <c r="N11" i="23"/>
  <c r="U11" i="23" s="1"/>
  <c r="N14" i="23"/>
  <c r="U14" i="23" s="1"/>
  <c r="T23" i="23"/>
  <c r="T7" i="23"/>
  <c r="T24" i="23"/>
  <c r="N5" i="23"/>
  <c r="U5" i="23" s="1"/>
  <c r="AF27" i="21"/>
  <c r="AE22" i="21"/>
  <c r="AF26" i="21"/>
  <c r="AF25" i="21"/>
  <c r="AI12" i="21"/>
  <c r="Y28" i="21"/>
  <c r="AF24" i="21"/>
  <c r="AF31" i="21"/>
  <c r="AF29" i="21"/>
  <c r="AD3" i="21"/>
  <c r="AD9" i="21"/>
  <c r="AF23" i="21"/>
  <c r="AE24" i="21"/>
  <c r="AE28" i="21"/>
  <c r="AJ9" i="21"/>
  <c r="AI15" i="21"/>
  <c r="AI8" i="21"/>
  <c r="Y33" i="21"/>
  <c r="AF17" i="21"/>
  <c r="AF16" i="21"/>
  <c r="AD10" i="21"/>
  <c r="P33" i="21" s="1"/>
  <c r="P33" i="22" s="1"/>
  <c r="AF20" i="21"/>
  <c r="AF21" i="21"/>
  <c r="AE29" i="21"/>
  <c r="AE27" i="21"/>
  <c r="AF28" i="21"/>
  <c r="AE31" i="21"/>
  <c r="AE26" i="21"/>
  <c r="AE30" i="21"/>
  <c r="AE25" i="21"/>
  <c r="Y31" i="21"/>
  <c r="AI14" i="21"/>
  <c r="AI7" i="21"/>
  <c r="AI6" i="21"/>
  <c r="AE23" i="21"/>
  <c r="AE21" i="21"/>
  <c r="AF22" i="21"/>
  <c r="T13" i="20"/>
  <c r="T26" i="20"/>
  <c r="N26" i="20"/>
  <c r="U26" i="20" s="1"/>
  <c r="T23" i="20"/>
  <c r="T14" i="20"/>
  <c r="T8" i="20"/>
  <c r="N25" i="20"/>
  <c r="U25" i="20" s="1"/>
  <c r="T25" i="20"/>
  <c r="T9" i="20"/>
  <c r="T5" i="20"/>
  <c r="T12" i="20"/>
  <c r="T10" i="20"/>
  <c r="N15" i="20"/>
  <c r="U15" i="20" s="1"/>
  <c r="T15" i="20"/>
  <c r="N11" i="20"/>
  <c r="U11" i="20" s="1"/>
  <c r="T11" i="20"/>
  <c r="T24" i="20"/>
  <c r="N14" i="20"/>
  <c r="U14" i="20" s="1"/>
  <c r="T7" i="20"/>
  <c r="T18" i="20"/>
  <c r="N8" i="20"/>
  <c r="U8" i="20" s="1"/>
  <c r="AD13" i="18"/>
  <c r="AD10" i="18"/>
  <c r="P33" i="18" s="1"/>
  <c r="P33" i="19" s="1"/>
  <c r="AF23" i="18"/>
  <c r="AE23" i="18"/>
  <c r="AE29" i="18"/>
  <c r="AF29" i="18"/>
  <c r="AF27" i="18"/>
  <c r="AE28" i="18"/>
  <c r="AK9" i="18"/>
  <c r="AJ9" i="18"/>
  <c r="AF20" i="18"/>
  <c r="AF17" i="18"/>
  <c r="AF16" i="18"/>
  <c r="AF24" i="18"/>
  <c r="AE30" i="18"/>
  <c r="AF30" i="18"/>
  <c r="AF28" i="18"/>
  <c r="AF31" i="18"/>
  <c r="Y31" i="18"/>
  <c r="AI14" i="18"/>
  <c r="AE21" i="18"/>
  <c r="AF21" i="18"/>
  <c r="AE17" i="18"/>
  <c r="AE16" i="18"/>
  <c r="AK6" i="18"/>
  <c r="AJ6" i="18"/>
  <c r="AE25" i="18"/>
  <c r="AF25" i="18"/>
  <c r="AE31" i="18"/>
  <c r="AF26" i="18"/>
  <c r="Y33" i="18"/>
  <c r="AI15" i="18"/>
  <c r="AI8" i="18"/>
  <c r="AD3" i="18"/>
  <c r="AD9" i="18"/>
  <c r="AE20" i="18"/>
  <c r="AE22" i="18"/>
  <c r="AF22" i="18"/>
  <c r="AI12" i="18"/>
  <c r="Y28" i="18"/>
  <c r="AE26" i="18"/>
  <c r="AE24" i="18"/>
  <c r="AE27" i="18"/>
  <c r="Y30" i="18"/>
  <c r="AI7" i="18"/>
  <c r="AI13" i="18"/>
  <c r="T12" i="17"/>
  <c r="T9" i="17"/>
  <c r="T25" i="17"/>
  <c r="N12" i="17"/>
  <c r="U12" i="17" s="1"/>
  <c r="T15" i="17"/>
  <c r="N9" i="17"/>
  <c r="U9" i="17" s="1"/>
  <c r="T5" i="17"/>
  <c r="T11" i="17"/>
  <c r="N11" i="17"/>
  <c r="U11" i="17" s="1"/>
  <c r="N5" i="17"/>
  <c r="U5" i="17" s="1"/>
  <c r="T26" i="17"/>
  <c r="T13" i="17"/>
  <c r="T7" i="17"/>
  <c r="N25" i="17"/>
  <c r="U25" i="17" s="1"/>
  <c r="AE31" i="15"/>
  <c r="AE27" i="15"/>
  <c r="AF30" i="15"/>
  <c r="AD3" i="15"/>
  <c r="AD9" i="15"/>
  <c r="AF27" i="15"/>
  <c r="AI7" i="15"/>
  <c r="AE20" i="15"/>
  <c r="AE22" i="15"/>
  <c r="AF26" i="15"/>
  <c r="AF17" i="15"/>
  <c r="AF16" i="15"/>
  <c r="AF29" i="15"/>
  <c r="AI8" i="15"/>
  <c r="Y33" i="15"/>
  <c r="AI15" i="15"/>
  <c r="AE24" i="15"/>
  <c r="AD10" i="15"/>
  <c r="P33" i="15" s="1"/>
  <c r="P33" i="16" s="1"/>
  <c r="AF23" i="15"/>
  <c r="AE25" i="15"/>
  <c r="Y31" i="15"/>
  <c r="AI14" i="15"/>
  <c r="AF20" i="15"/>
  <c r="AF21" i="15"/>
  <c r="AK9" i="15"/>
  <c r="AI12" i="15"/>
  <c r="Y28" i="15"/>
  <c r="AE29" i="15"/>
  <c r="AF24" i="15"/>
  <c r="AF28" i="15"/>
  <c r="AF31" i="15"/>
  <c r="AI6" i="15"/>
  <c r="AE23" i="15"/>
  <c r="AE21" i="15"/>
  <c r="AF22" i="15"/>
  <c r="T9" i="14"/>
  <c r="T6" i="14"/>
  <c r="T3" i="14"/>
  <c r="T7" i="14"/>
  <c r="T4" i="14"/>
  <c r="N9" i="14"/>
  <c r="U9" i="14" s="1"/>
  <c r="N4" i="14"/>
  <c r="U4" i="14" s="1"/>
  <c r="T26" i="14"/>
  <c r="T12" i="14"/>
  <c r="T5" i="14"/>
  <c r="N7" i="14"/>
  <c r="U7" i="14" s="1"/>
  <c r="N3" i="14"/>
  <c r="U3" i="14" s="1"/>
  <c r="AD9" i="12"/>
  <c r="AD3" i="12"/>
  <c r="AD10" i="12"/>
  <c r="P33" i="12" s="1"/>
  <c r="P33" i="13" s="1"/>
  <c r="AI7" i="12"/>
  <c r="AI6" i="12"/>
  <c r="AI8" i="12"/>
  <c r="Y33" i="12"/>
  <c r="AI15" i="12"/>
  <c r="AI12" i="12"/>
  <c r="Y28" i="12"/>
  <c r="Y31" i="12"/>
  <c r="AI14" i="12"/>
  <c r="T9" i="11"/>
  <c r="T26" i="11"/>
  <c r="T7" i="11"/>
  <c r="T21" i="11"/>
  <c r="T5" i="11"/>
  <c r="T12" i="11"/>
  <c r="N7" i="11"/>
  <c r="U7" i="11" s="1"/>
  <c r="T19" i="11"/>
  <c r="N12" i="11"/>
  <c r="N9" i="11"/>
  <c r="U9" i="11" s="1"/>
  <c r="N5" i="11"/>
  <c r="U5" i="11" s="1"/>
  <c r="AI12" i="9"/>
  <c r="Y28" i="9"/>
  <c r="AD9" i="9"/>
  <c r="Y33" i="9"/>
  <c r="AI8" i="9"/>
  <c r="AI15" i="9"/>
  <c r="AD10" i="9"/>
  <c r="P33" i="9" s="1"/>
  <c r="P33" i="10" s="1"/>
  <c r="Y31" i="9"/>
  <c r="AI14" i="9"/>
  <c r="AI7" i="9"/>
  <c r="T9" i="8"/>
  <c r="T26" i="8"/>
  <c r="T3" i="8"/>
  <c r="T5" i="8"/>
  <c r="T25" i="8"/>
  <c r="N26" i="8"/>
  <c r="U26" i="8" s="1"/>
  <c r="T15" i="8"/>
  <c r="T13" i="8"/>
  <c r="U4" i="8"/>
  <c r="N9" i="8"/>
  <c r="U9" i="8" s="1"/>
  <c r="T12" i="8"/>
  <c r="N6" i="8"/>
  <c r="U6" i="8" s="1"/>
  <c r="T6" i="8"/>
  <c r="T11" i="8"/>
  <c r="N5" i="8"/>
  <c r="U5" i="8" s="1"/>
  <c r="Y33" i="6"/>
  <c r="AI15" i="6"/>
  <c r="AI12" i="6"/>
  <c r="Y28" i="6"/>
  <c r="T9" i="5"/>
  <c r="T7" i="5"/>
  <c r="T12" i="5"/>
  <c r="T6" i="5"/>
  <c r="N6" i="5"/>
  <c r="U6" i="5" s="1"/>
  <c r="T21" i="5"/>
  <c r="T26" i="5"/>
  <c r="T5" i="5"/>
  <c r="N12" i="5"/>
  <c r="U12" i="5" s="1"/>
  <c r="T4" i="5"/>
  <c r="N5" i="5"/>
  <c r="U5" i="5" s="1"/>
  <c r="T19" i="5"/>
  <c r="N9" i="5"/>
  <c r="U9" i="5" s="1"/>
  <c r="N4" i="5"/>
  <c r="U4" i="5" s="1"/>
  <c r="N29" i="4"/>
  <c r="N13" i="4"/>
  <c r="F3" i="3"/>
  <c r="F27" i="3"/>
  <c r="F27" i="4" s="1"/>
  <c r="F19" i="3"/>
  <c r="F23" i="3"/>
  <c r="F23" i="4" s="1"/>
  <c r="F31" i="3"/>
  <c r="K5" i="3"/>
  <c r="K5" i="4" s="1"/>
  <c r="F7" i="3"/>
  <c r="F7" i="4" s="1"/>
  <c r="F11" i="3"/>
  <c r="F11" i="4" s="1"/>
  <c r="F15" i="3"/>
  <c r="K21" i="3"/>
  <c r="K21" i="4" s="1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H27" i="2"/>
  <c r="H26" i="2"/>
  <c r="H25" i="2"/>
  <c r="M25" i="2" s="1"/>
  <c r="H24" i="2"/>
  <c r="H23" i="2"/>
  <c r="H22" i="2"/>
  <c r="M22" i="2" s="1"/>
  <c r="H21" i="2"/>
  <c r="M21" i="2" s="1"/>
  <c r="H20" i="2"/>
  <c r="H19" i="2"/>
  <c r="H18" i="2"/>
  <c r="H17" i="2"/>
  <c r="M17" i="2" s="1"/>
  <c r="H16" i="2"/>
  <c r="H15" i="2"/>
  <c r="H14" i="2"/>
  <c r="M14" i="2" s="1"/>
  <c r="H13" i="2"/>
  <c r="M13" i="2" s="1"/>
  <c r="H12" i="2"/>
  <c r="H11" i="2"/>
  <c r="H10" i="2"/>
  <c r="H9" i="2"/>
  <c r="M9" i="2" s="1"/>
  <c r="H8" i="2"/>
  <c r="H7" i="2"/>
  <c r="H6" i="2"/>
  <c r="M6" i="2" s="1"/>
  <c r="H5" i="2"/>
  <c r="M5" i="2" s="1"/>
  <c r="H4" i="2"/>
  <c r="H3" i="2"/>
  <c r="C15" i="2"/>
  <c r="S15" i="2" s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  <c r="U6" i="1"/>
  <c r="T6" i="1"/>
  <c r="U5" i="1"/>
  <c r="T5" i="1"/>
  <c r="U4" i="1"/>
  <c r="T4" i="1"/>
  <c r="U3" i="1"/>
  <c r="T3" i="1"/>
  <c r="U2" i="1"/>
  <c r="T2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2" i="1"/>
  <c r="I20" i="1"/>
  <c r="I19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" i="1"/>
  <c r="C5" i="2" s="1"/>
  <c r="S5" i="2" s="1"/>
  <c r="E3" i="1"/>
  <c r="M7" i="2" l="1"/>
  <c r="M15" i="2"/>
  <c r="M23" i="2"/>
  <c r="T23" i="2" s="1"/>
  <c r="M8" i="2"/>
  <c r="M16" i="2"/>
  <c r="M24" i="2"/>
  <c r="M10" i="2"/>
  <c r="M18" i="2"/>
  <c r="M26" i="2"/>
  <c r="M3" i="2"/>
  <c r="T3" i="2" s="1"/>
  <c r="M11" i="2"/>
  <c r="T11" i="2" s="1"/>
  <c r="M27" i="2"/>
  <c r="N27" i="2" s="1"/>
  <c r="M4" i="2"/>
  <c r="M12" i="2"/>
  <c r="M20" i="2"/>
  <c r="AD9" i="6"/>
  <c r="P31" i="6" s="1"/>
  <c r="P31" i="7" s="1"/>
  <c r="P9" i="7"/>
  <c r="M19" i="2"/>
  <c r="T19" i="2" s="1"/>
  <c r="T15" i="2"/>
  <c r="T7" i="2"/>
  <c r="B23" i="11"/>
  <c r="C21" i="11"/>
  <c r="S21" i="11" s="1"/>
  <c r="C16" i="11"/>
  <c r="S16" i="11" s="1"/>
  <c r="C24" i="11"/>
  <c r="S24" i="11" s="1"/>
  <c r="B21" i="11"/>
  <c r="C19" i="11"/>
  <c r="S19" i="11" s="1"/>
  <c r="B16" i="11"/>
  <c r="B11" i="11"/>
  <c r="B9" i="11"/>
  <c r="R9" i="11" s="1"/>
  <c r="B7" i="11"/>
  <c r="R7" i="11" s="1"/>
  <c r="C5" i="11"/>
  <c r="S5" i="11" s="1"/>
  <c r="C27" i="11"/>
  <c r="S27" i="11" s="1"/>
  <c r="B24" i="11"/>
  <c r="B19" i="11"/>
  <c r="C17" i="11"/>
  <c r="S17" i="11" s="1"/>
  <c r="C14" i="11"/>
  <c r="S14" i="11" s="1"/>
  <c r="C12" i="11"/>
  <c r="S12" i="11" s="1"/>
  <c r="C26" i="11"/>
  <c r="S26" i="11" s="1"/>
  <c r="C22" i="11"/>
  <c r="S22" i="11" s="1"/>
  <c r="C15" i="11"/>
  <c r="S15" i="11" s="1"/>
  <c r="C13" i="11"/>
  <c r="S13" i="11" s="1"/>
  <c r="C9" i="11"/>
  <c r="S9" i="11" s="1"/>
  <c r="B3" i="11"/>
  <c r="B26" i="11"/>
  <c r="B22" i="11"/>
  <c r="B17" i="11"/>
  <c r="B15" i="11"/>
  <c r="B13" i="11"/>
  <c r="C11" i="11"/>
  <c r="S11" i="11" s="1"/>
  <c r="C25" i="11"/>
  <c r="S25" i="11" s="1"/>
  <c r="B12" i="11"/>
  <c r="R12" i="11" s="1"/>
  <c r="C10" i="11"/>
  <c r="S10" i="11" s="1"/>
  <c r="B8" i="11"/>
  <c r="B6" i="11"/>
  <c r="B4" i="11"/>
  <c r="B27" i="11"/>
  <c r="C18" i="11"/>
  <c r="S18" i="11" s="1"/>
  <c r="C8" i="11"/>
  <c r="S8" i="11" s="1"/>
  <c r="B25" i="11"/>
  <c r="R25" i="11" s="1"/>
  <c r="B18" i="11"/>
  <c r="C20" i="11"/>
  <c r="S20" i="11" s="1"/>
  <c r="C4" i="11"/>
  <c r="S4" i="11" s="1"/>
  <c r="C23" i="11"/>
  <c r="S23" i="11" s="1"/>
  <c r="B20" i="11"/>
  <c r="C6" i="11"/>
  <c r="S6" i="11" s="1"/>
  <c r="B14" i="11"/>
  <c r="C3" i="11"/>
  <c r="S3" i="11" s="1"/>
  <c r="B10" i="11"/>
  <c r="B5" i="11"/>
  <c r="C7" i="11"/>
  <c r="S7" i="11" s="1"/>
  <c r="C27" i="2"/>
  <c r="S27" i="2" s="1"/>
  <c r="U12" i="11"/>
  <c r="B26" i="23"/>
  <c r="R26" i="23" s="1"/>
  <c r="B24" i="23"/>
  <c r="C22" i="23"/>
  <c r="S22" i="23" s="1"/>
  <c r="C27" i="23"/>
  <c r="S27" i="23" s="1"/>
  <c r="C25" i="23"/>
  <c r="S25" i="23" s="1"/>
  <c r="C23" i="23"/>
  <c r="S23" i="23" s="1"/>
  <c r="C16" i="23"/>
  <c r="S16" i="23" s="1"/>
  <c r="C14" i="23"/>
  <c r="S14" i="23" s="1"/>
  <c r="C12" i="23"/>
  <c r="S12" i="23" s="1"/>
  <c r="C7" i="23"/>
  <c r="S7" i="23" s="1"/>
  <c r="B27" i="23"/>
  <c r="B25" i="23"/>
  <c r="R25" i="23" s="1"/>
  <c r="B23" i="23"/>
  <c r="C21" i="23"/>
  <c r="S21" i="23" s="1"/>
  <c r="C26" i="23"/>
  <c r="S26" i="23" s="1"/>
  <c r="C24" i="23"/>
  <c r="S24" i="23" s="1"/>
  <c r="C11" i="23"/>
  <c r="S11" i="23" s="1"/>
  <c r="B8" i="23"/>
  <c r="B6" i="23"/>
  <c r="B4" i="23"/>
  <c r="C13" i="23"/>
  <c r="S13" i="23" s="1"/>
  <c r="B11" i="23"/>
  <c r="R11" i="23" s="1"/>
  <c r="B21" i="23"/>
  <c r="C19" i="23"/>
  <c r="S19" i="23" s="1"/>
  <c r="C17" i="23"/>
  <c r="S17" i="23" s="1"/>
  <c r="C15" i="23"/>
  <c r="S15" i="23" s="1"/>
  <c r="B13" i="23"/>
  <c r="R13" i="23" s="1"/>
  <c r="C9" i="23"/>
  <c r="S9" i="23" s="1"/>
  <c r="B17" i="23"/>
  <c r="B7" i="23"/>
  <c r="B5" i="23"/>
  <c r="R5" i="23" s="1"/>
  <c r="B19" i="23"/>
  <c r="B9" i="23"/>
  <c r="R9" i="23" s="1"/>
  <c r="B14" i="23"/>
  <c r="R14" i="23" s="1"/>
  <c r="B16" i="23"/>
  <c r="B10" i="23"/>
  <c r="C4" i="23"/>
  <c r="S4" i="23" s="1"/>
  <c r="C18" i="23"/>
  <c r="S18" i="23" s="1"/>
  <c r="B12" i="23"/>
  <c r="C6" i="23"/>
  <c r="S6" i="23" s="1"/>
  <c r="C5" i="23"/>
  <c r="S5" i="23" s="1"/>
  <c r="B15" i="23"/>
  <c r="R15" i="23" s="1"/>
  <c r="C8" i="23"/>
  <c r="S8" i="23" s="1"/>
  <c r="B18" i="23"/>
  <c r="C20" i="23"/>
  <c r="S20" i="23" s="1"/>
  <c r="C10" i="23"/>
  <c r="S10" i="23" s="1"/>
  <c r="B20" i="23"/>
  <c r="C3" i="23"/>
  <c r="S3" i="23" s="1"/>
  <c r="B3" i="23"/>
  <c r="B22" i="23"/>
  <c r="B25" i="2"/>
  <c r="R25" i="2" s="1"/>
  <c r="B21" i="2"/>
  <c r="R21" i="2" s="1"/>
  <c r="B17" i="2"/>
  <c r="R17" i="2" s="1"/>
  <c r="B13" i="2"/>
  <c r="R13" i="2" s="1"/>
  <c r="B9" i="2"/>
  <c r="R9" i="2" s="1"/>
  <c r="B5" i="2"/>
  <c r="R5" i="2" s="1"/>
  <c r="B20" i="2"/>
  <c r="R20" i="2" s="1"/>
  <c r="B12" i="2"/>
  <c r="R12" i="2" s="1"/>
  <c r="B4" i="2"/>
  <c r="R4" i="2" s="1"/>
  <c r="C24" i="2"/>
  <c r="S24" i="2" s="1"/>
  <c r="C20" i="2"/>
  <c r="S20" i="2" s="1"/>
  <c r="C16" i="2"/>
  <c r="S16" i="2" s="1"/>
  <c r="C12" i="2"/>
  <c r="S12" i="2" s="1"/>
  <c r="C8" i="2"/>
  <c r="S8" i="2" s="1"/>
  <c r="C4" i="2"/>
  <c r="S4" i="2" s="1"/>
  <c r="B24" i="2"/>
  <c r="R24" i="2" s="1"/>
  <c r="B16" i="2"/>
  <c r="R16" i="2" s="1"/>
  <c r="B8" i="2"/>
  <c r="R8" i="2" s="1"/>
  <c r="B27" i="2"/>
  <c r="R27" i="2" s="1"/>
  <c r="B23" i="2"/>
  <c r="R23" i="2" s="1"/>
  <c r="B19" i="2"/>
  <c r="R19" i="2" s="1"/>
  <c r="B15" i="2"/>
  <c r="R15" i="2" s="1"/>
  <c r="B11" i="2"/>
  <c r="R11" i="2" s="1"/>
  <c r="B7" i="2"/>
  <c r="R7" i="2" s="1"/>
  <c r="B3" i="2"/>
  <c r="R3" i="2" s="1"/>
  <c r="C26" i="2"/>
  <c r="S26" i="2" s="1"/>
  <c r="C22" i="2"/>
  <c r="S22" i="2" s="1"/>
  <c r="C18" i="2"/>
  <c r="S18" i="2" s="1"/>
  <c r="C14" i="2"/>
  <c r="S14" i="2" s="1"/>
  <c r="C10" i="2"/>
  <c r="S10" i="2" s="1"/>
  <c r="C6" i="2"/>
  <c r="S6" i="2" s="1"/>
  <c r="B26" i="2"/>
  <c r="R26" i="2" s="1"/>
  <c r="B22" i="2"/>
  <c r="R22" i="2" s="1"/>
  <c r="B18" i="2"/>
  <c r="R18" i="2" s="1"/>
  <c r="B14" i="2"/>
  <c r="R14" i="2" s="1"/>
  <c r="B10" i="2"/>
  <c r="R10" i="2" s="1"/>
  <c r="B6" i="2"/>
  <c r="R6" i="2" s="1"/>
  <c r="C25" i="2"/>
  <c r="S25" i="2" s="1"/>
  <c r="C21" i="2"/>
  <c r="S21" i="2" s="1"/>
  <c r="C17" i="2"/>
  <c r="S17" i="2" s="1"/>
  <c r="C13" i="2"/>
  <c r="S13" i="2" s="1"/>
  <c r="C9" i="2"/>
  <c r="S9" i="2" s="1"/>
  <c r="C23" i="2"/>
  <c r="S23" i="2" s="1"/>
  <c r="C3" i="2"/>
  <c r="S3" i="2" s="1"/>
  <c r="C7" i="2"/>
  <c r="S7" i="2" s="1"/>
  <c r="C19" i="2"/>
  <c r="S19" i="2" s="1"/>
  <c r="C11" i="2"/>
  <c r="S11" i="2" s="1"/>
  <c r="U25" i="5"/>
  <c r="C27" i="20"/>
  <c r="S27" i="20" s="1"/>
  <c r="C25" i="20"/>
  <c r="S25" i="20" s="1"/>
  <c r="C23" i="20"/>
  <c r="S23" i="20" s="1"/>
  <c r="C17" i="20"/>
  <c r="S17" i="20" s="1"/>
  <c r="B16" i="20"/>
  <c r="B14" i="20"/>
  <c r="R14" i="20" s="1"/>
  <c r="B12" i="20"/>
  <c r="B10" i="20"/>
  <c r="C8" i="20"/>
  <c r="S8" i="20" s="1"/>
  <c r="C6" i="20"/>
  <c r="S6" i="20" s="1"/>
  <c r="C4" i="20"/>
  <c r="S4" i="20" s="1"/>
  <c r="C26" i="20"/>
  <c r="S26" i="20" s="1"/>
  <c r="B24" i="20"/>
  <c r="C22" i="20"/>
  <c r="S22" i="20" s="1"/>
  <c r="B19" i="20"/>
  <c r="C16" i="20"/>
  <c r="S16" i="20" s="1"/>
  <c r="C9" i="20"/>
  <c r="S9" i="20" s="1"/>
  <c r="C7" i="20"/>
  <c r="S7" i="20" s="1"/>
  <c r="B5" i="20"/>
  <c r="C3" i="20"/>
  <c r="S3" i="20" s="1"/>
  <c r="B26" i="20"/>
  <c r="R26" i="20" s="1"/>
  <c r="B22" i="20"/>
  <c r="C11" i="20"/>
  <c r="S11" i="20" s="1"/>
  <c r="B9" i="20"/>
  <c r="B7" i="20"/>
  <c r="B3" i="20"/>
  <c r="R3" i="20" s="1"/>
  <c r="B17" i="20"/>
  <c r="C13" i="20"/>
  <c r="S13" i="20" s="1"/>
  <c r="B11" i="20"/>
  <c r="R11" i="20" s="1"/>
  <c r="B25" i="20"/>
  <c r="R25" i="20" s="1"/>
  <c r="C15" i="20"/>
  <c r="S15" i="20" s="1"/>
  <c r="B15" i="20"/>
  <c r="B6" i="20"/>
  <c r="C18" i="20"/>
  <c r="S18" i="20" s="1"/>
  <c r="C12" i="20"/>
  <c r="S12" i="20" s="1"/>
  <c r="B23" i="20"/>
  <c r="B4" i="20"/>
  <c r="C10" i="20"/>
  <c r="S10" i="20" s="1"/>
  <c r="B18" i="20"/>
  <c r="B13" i="20"/>
  <c r="B27" i="20"/>
  <c r="B21" i="20"/>
  <c r="C19" i="20"/>
  <c r="S19" i="20" s="1"/>
  <c r="C5" i="20"/>
  <c r="S5" i="20" s="1"/>
  <c r="B8" i="20"/>
  <c r="R8" i="20" s="1"/>
  <c r="C20" i="20"/>
  <c r="S20" i="20" s="1"/>
  <c r="C24" i="20"/>
  <c r="S24" i="20" s="1"/>
  <c r="B20" i="20"/>
  <c r="C21" i="20"/>
  <c r="S21" i="20" s="1"/>
  <c r="C14" i="20"/>
  <c r="S14" i="20" s="1"/>
  <c r="B26" i="5"/>
  <c r="B21" i="5"/>
  <c r="B19" i="5"/>
  <c r="B17" i="5"/>
  <c r="B15" i="5"/>
  <c r="C13" i="5"/>
  <c r="S13" i="5" s="1"/>
  <c r="C11" i="5"/>
  <c r="S11" i="5" s="1"/>
  <c r="B13" i="5"/>
  <c r="B11" i="5"/>
  <c r="C7" i="5"/>
  <c r="S7" i="5" s="1"/>
  <c r="C5" i="5"/>
  <c r="S5" i="5" s="1"/>
  <c r="C3" i="5"/>
  <c r="S3" i="5" s="1"/>
  <c r="C27" i="5"/>
  <c r="S27" i="5" s="1"/>
  <c r="B24" i="5"/>
  <c r="C20" i="5"/>
  <c r="S20" i="5" s="1"/>
  <c r="C16" i="5"/>
  <c r="S16" i="5" s="1"/>
  <c r="B27" i="5"/>
  <c r="B20" i="5"/>
  <c r="B18" i="5"/>
  <c r="C12" i="5"/>
  <c r="S12" i="5" s="1"/>
  <c r="C25" i="5"/>
  <c r="S25" i="5" s="1"/>
  <c r="C8" i="5"/>
  <c r="S8" i="5" s="1"/>
  <c r="B25" i="5"/>
  <c r="R25" i="5" s="1"/>
  <c r="B4" i="5"/>
  <c r="C15" i="5"/>
  <c r="S15" i="5" s="1"/>
  <c r="C9" i="5"/>
  <c r="S9" i="5" s="1"/>
  <c r="B12" i="5"/>
  <c r="R12" i="5" s="1"/>
  <c r="C4" i="5"/>
  <c r="S4" i="5" s="1"/>
  <c r="B8" i="5"/>
  <c r="C21" i="5"/>
  <c r="S21" i="5" s="1"/>
  <c r="C24" i="5"/>
  <c r="S24" i="5" s="1"/>
  <c r="B9" i="5"/>
  <c r="R9" i="5" s="1"/>
  <c r="B7" i="5"/>
  <c r="B5" i="5"/>
  <c r="B3" i="5"/>
  <c r="R3" i="5" s="1"/>
  <c r="C22" i="5"/>
  <c r="S22" i="5" s="1"/>
  <c r="C18" i="5"/>
  <c r="S18" i="5" s="1"/>
  <c r="B22" i="5"/>
  <c r="B16" i="5"/>
  <c r="R16" i="5" s="1"/>
  <c r="B14" i="5"/>
  <c r="C6" i="5"/>
  <c r="S6" i="5" s="1"/>
  <c r="B23" i="5"/>
  <c r="C17" i="5"/>
  <c r="S17" i="5" s="1"/>
  <c r="C14" i="5"/>
  <c r="S14" i="5" s="1"/>
  <c r="C10" i="5"/>
  <c r="S10" i="5" s="1"/>
  <c r="C23" i="5"/>
  <c r="S23" i="5" s="1"/>
  <c r="B10" i="5"/>
  <c r="B6" i="5"/>
  <c r="R6" i="5" s="1"/>
  <c r="C26" i="5"/>
  <c r="S26" i="5" s="1"/>
  <c r="C19" i="5"/>
  <c r="S19" i="5" s="1"/>
  <c r="C26" i="14"/>
  <c r="S26" i="14" s="1"/>
  <c r="B19" i="14"/>
  <c r="C14" i="14"/>
  <c r="S14" i="14" s="1"/>
  <c r="C12" i="14"/>
  <c r="S12" i="14" s="1"/>
  <c r="C7" i="14"/>
  <c r="S7" i="14" s="1"/>
  <c r="C5" i="14"/>
  <c r="S5" i="14" s="1"/>
  <c r="B26" i="14"/>
  <c r="C24" i="14"/>
  <c r="S24" i="14" s="1"/>
  <c r="C17" i="14"/>
  <c r="S17" i="14" s="1"/>
  <c r="B14" i="14"/>
  <c r="B12" i="14"/>
  <c r="B7" i="14"/>
  <c r="R7" i="14" s="1"/>
  <c r="B5" i="14"/>
  <c r="B3" i="14"/>
  <c r="R3" i="14" s="1"/>
  <c r="B24" i="14"/>
  <c r="C22" i="14"/>
  <c r="S22" i="14" s="1"/>
  <c r="B27" i="14"/>
  <c r="C20" i="14"/>
  <c r="S20" i="14" s="1"/>
  <c r="B18" i="14"/>
  <c r="C16" i="14"/>
  <c r="S16" i="14" s="1"/>
  <c r="B10" i="14"/>
  <c r="B8" i="14"/>
  <c r="R8" i="14" s="1"/>
  <c r="B22" i="14"/>
  <c r="B20" i="14"/>
  <c r="B16" i="14"/>
  <c r="C11" i="14"/>
  <c r="S11" i="14" s="1"/>
  <c r="B25" i="14"/>
  <c r="B15" i="14"/>
  <c r="C8" i="14"/>
  <c r="S8" i="14" s="1"/>
  <c r="B17" i="14"/>
  <c r="C10" i="14"/>
  <c r="S10" i="14" s="1"/>
  <c r="C27" i="14"/>
  <c r="S27" i="14" s="1"/>
  <c r="C9" i="14"/>
  <c r="S9" i="14" s="1"/>
  <c r="B4" i="14"/>
  <c r="R4" i="14" s="1"/>
  <c r="B13" i="14"/>
  <c r="C6" i="14"/>
  <c r="S6" i="14" s="1"/>
  <c r="C25" i="14"/>
  <c r="S25" i="14" s="1"/>
  <c r="C3" i="14"/>
  <c r="S3" i="14" s="1"/>
  <c r="C13" i="14"/>
  <c r="S13" i="14" s="1"/>
  <c r="C21" i="14"/>
  <c r="S21" i="14" s="1"/>
  <c r="C15" i="14"/>
  <c r="S15" i="14" s="1"/>
  <c r="C4" i="14"/>
  <c r="S4" i="14" s="1"/>
  <c r="C23" i="14"/>
  <c r="S23" i="14" s="1"/>
  <c r="B21" i="14"/>
  <c r="C18" i="14"/>
  <c r="S18" i="14" s="1"/>
  <c r="B23" i="14"/>
  <c r="B6" i="14"/>
  <c r="B11" i="14"/>
  <c r="C19" i="14"/>
  <c r="S19" i="14" s="1"/>
  <c r="B9" i="14"/>
  <c r="R9" i="14" s="1"/>
  <c r="U25" i="11"/>
  <c r="B26" i="8"/>
  <c r="R26" i="8" s="1"/>
  <c r="B21" i="8"/>
  <c r="B18" i="8"/>
  <c r="C7" i="8"/>
  <c r="S7" i="8" s="1"/>
  <c r="C22" i="8"/>
  <c r="S22" i="8" s="1"/>
  <c r="B12" i="8"/>
  <c r="C8" i="8"/>
  <c r="S8" i="8" s="1"/>
  <c r="B22" i="8"/>
  <c r="C17" i="8"/>
  <c r="S17" i="8" s="1"/>
  <c r="B8" i="8"/>
  <c r="B17" i="8"/>
  <c r="C4" i="8"/>
  <c r="S4" i="8" s="1"/>
  <c r="B23" i="8"/>
  <c r="B15" i="8"/>
  <c r="B4" i="8"/>
  <c r="B13" i="8"/>
  <c r="C25" i="8"/>
  <c r="S25" i="8" s="1"/>
  <c r="C19" i="8"/>
  <c r="S19" i="8" s="1"/>
  <c r="C16" i="8"/>
  <c r="S16" i="8" s="1"/>
  <c r="B7" i="8"/>
  <c r="C5" i="8"/>
  <c r="S5" i="8" s="1"/>
  <c r="C3" i="8"/>
  <c r="S3" i="8" s="1"/>
  <c r="B20" i="8"/>
  <c r="C27" i="8"/>
  <c r="S27" i="8" s="1"/>
  <c r="B25" i="8"/>
  <c r="B19" i="8"/>
  <c r="B16" i="8"/>
  <c r="C14" i="8"/>
  <c r="S14" i="8" s="1"/>
  <c r="C12" i="8"/>
  <c r="S12" i="8" s="1"/>
  <c r="C10" i="8"/>
  <c r="S10" i="8" s="1"/>
  <c r="B5" i="8"/>
  <c r="R5" i="8" s="1"/>
  <c r="B3" i="8"/>
  <c r="B27" i="8"/>
  <c r="B14" i="8"/>
  <c r="B10" i="8"/>
  <c r="C20" i="8"/>
  <c r="S20" i="8" s="1"/>
  <c r="C15" i="8"/>
  <c r="S15" i="8" s="1"/>
  <c r="C6" i="8"/>
  <c r="S6" i="8" s="1"/>
  <c r="C26" i="8"/>
  <c r="S26" i="8" s="1"/>
  <c r="C13" i="8"/>
  <c r="S13" i="8" s="1"/>
  <c r="B6" i="8"/>
  <c r="C21" i="8"/>
  <c r="S21" i="8" s="1"/>
  <c r="B9" i="8"/>
  <c r="R9" i="8" s="1"/>
  <c r="C23" i="8"/>
  <c r="S23" i="8" s="1"/>
  <c r="C24" i="8"/>
  <c r="S24" i="8" s="1"/>
  <c r="C11" i="8"/>
  <c r="S11" i="8" s="1"/>
  <c r="C9" i="8"/>
  <c r="S9" i="8" s="1"/>
  <c r="B24" i="8"/>
  <c r="C18" i="8"/>
  <c r="S18" i="8" s="1"/>
  <c r="B11" i="8"/>
  <c r="C19" i="17"/>
  <c r="S19" i="17" s="1"/>
  <c r="B16" i="17"/>
  <c r="C14" i="17"/>
  <c r="S14" i="17" s="1"/>
  <c r="C12" i="17"/>
  <c r="S12" i="17" s="1"/>
  <c r="C27" i="17"/>
  <c r="S27" i="17" s="1"/>
  <c r="C25" i="17"/>
  <c r="S25" i="17" s="1"/>
  <c r="B19" i="17"/>
  <c r="B14" i="17"/>
  <c r="B12" i="17"/>
  <c r="R12" i="17" s="1"/>
  <c r="B3" i="17"/>
  <c r="B27" i="17"/>
  <c r="B25" i="17"/>
  <c r="R25" i="17" s="1"/>
  <c r="C22" i="17"/>
  <c r="S22" i="17" s="1"/>
  <c r="C17" i="17"/>
  <c r="S17" i="17" s="1"/>
  <c r="C10" i="17"/>
  <c r="S10" i="17" s="1"/>
  <c r="C23" i="17"/>
  <c r="S23" i="17" s="1"/>
  <c r="C15" i="17"/>
  <c r="S15" i="17" s="1"/>
  <c r="B13" i="17"/>
  <c r="B23" i="17"/>
  <c r="C21" i="17"/>
  <c r="S21" i="17" s="1"/>
  <c r="B17" i="17"/>
  <c r="B15" i="17"/>
  <c r="B21" i="17"/>
  <c r="B10" i="17"/>
  <c r="R10" i="17" s="1"/>
  <c r="C8" i="17"/>
  <c r="S8" i="17" s="1"/>
  <c r="C6" i="17"/>
  <c r="S6" i="17" s="1"/>
  <c r="C4" i="17"/>
  <c r="S4" i="17" s="1"/>
  <c r="C24" i="17"/>
  <c r="S24" i="17" s="1"/>
  <c r="B4" i="17"/>
  <c r="B24" i="17"/>
  <c r="C13" i="17"/>
  <c r="S13" i="17" s="1"/>
  <c r="B6" i="17"/>
  <c r="C26" i="17"/>
  <c r="S26" i="17" s="1"/>
  <c r="C16" i="17"/>
  <c r="S16" i="17" s="1"/>
  <c r="B8" i="17"/>
  <c r="R8" i="17" s="1"/>
  <c r="C18" i="17"/>
  <c r="S18" i="17" s="1"/>
  <c r="B9" i="17"/>
  <c r="R9" i="17" s="1"/>
  <c r="C20" i="17"/>
  <c r="S20" i="17" s="1"/>
  <c r="B18" i="17"/>
  <c r="C11" i="17"/>
  <c r="S11" i="17" s="1"/>
  <c r="B26" i="17"/>
  <c r="B20" i="17"/>
  <c r="B11" i="17"/>
  <c r="R11" i="17" s="1"/>
  <c r="C3" i="17"/>
  <c r="S3" i="17" s="1"/>
  <c r="B22" i="17"/>
  <c r="C5" i="17"/>
  <c r="S5" i="17" s="1"/>
  <c r="C9" i="17"/>
  <c r="S9" i="17" s="1"/>
  <c r="B5" i="17"/>
  <c r="R5" i="17" s="1"/>
  <c r="C7" i="17"/>
  <c r="S7" i="17" s="1"/>
  <c r="B7" i="17"/>
  <c r="AK9" i="24"/>
  <c r="O3" i="5"/>
  <c r="U8" i="14"/>
  <c r="U8" i="17"/>
  <c r="U10" i="17"/>
  <c r="K21" i="7"/>
  <c r="P25" i="6"/>
  <c r="U17" i="6" s="1"/>
  <c r="U17" i="7" s="1"/>
  <c r="AD6" i="6"/>
  <c r="AJ6" i="24"/>
  <c r="AK6" i="24"/>
  <c r="AJ8" i="24"/>
  <c r="AK8" i="24"/>
  <c r="P31" i="24"/>
  <c r="P31" i="25" s="1"/>
  <c r="AE18" i="24"/>
  <c r="AE19" i="24"/>
  <c r="AF19" i="24"/>
  <c r="AF18" i="24"/>
  <c r="W32" i="24" s="1"/>
  <c r="W32" i="25" s="1"/>
  <c r="AK7" i="24"/>
  <c r="AJ7" i="24"/>
  <c r="AJ6" i="21"/>
  <c r="AK6" i="21"/>
  <c r="AK7" i="21"/>
  <c r="AJ7" i="21"/>
  <c r="AJ8" i="21"/>
  <c r="AK8" i="21"/>
  <c r="P31" i="21"/>
  <c r="P31" i="22" s="1"/>
  <c r="AE18" i="21"/>
  <c r="AF19" i="21"/>
  <c r="AF18" i="21"/>
  <c r="W32" i="21" s="1"/>
  <c r="W32" i="22" s="1"/>
  <c r="AE19" i="21"/>
  <c r="P31" i="18"/>
  <c r="P31" i="19" s="1"/>
  <c r="AF18" i="18"/>
  <c r="W32" i="18" s="1"/>
  <c r="W32" i="19" s="1"/>
  <c r="AE19" i="18"/>
  <c r="AE18" i="18"/>
  <c r="V32" i="18" s="1"/>
  <c r="V32" i="19" s="1"/>
  <c r="AF19" i="18"/>
  <c r="AK7" i="18"/>
  <c r="AJ7" i="18"/>
  <c r="AJ8" i="18"/>
  <c r="AK8" i="18"/>
  <c r="AK6" i="15"/>
  <c r="AJ6" i="15"/>
  <c r="P31" i="15"/>
  <c r="P31" i="16" s="1"/>
  <c r="AE19" i="15"/>
  <c r="AF19" i="15"/>
  <c r="AF18" i="15"/>
  <c r="W32" i="15" s="1"/>
  <c r="W32" i="16" s="1"/>
  <c r="AE18" i="15"/>
  <c r="AJ8" i="15"/>
  <c r="AK8" i="15"/>
  <c r="AK7" i="15"/>
  <c r="AJ7" i="15"/>
  <c r="P31" i="12"/>
  <c r="P31" i="13" s="1"/>
  <c r="P31" i="9"/>
  <c r="P31" i="10" s="1"/>
  <c r="Y36" i="3"/>
  <c r="Y37" i="3"/>
  <c r="F31" i="4"/>
  <c r="AI17" i="3"/>
  <c r="Y33" i="3"/>
  <c r="F19" i="4"/>
  <c r="K13" i="3"/>
  <c r="AD4" i="3" s="1"/>
  <c r="F15" i="4"/>
  <c r="Y27" i="3"/>
  <c r="F3" i="4"/>
  <c r="AI11" i="3"/>
  <c r="AI6" i="3"/>
  <c r="K29" i="3"/>
  <c r="AI18" i="3"/>
  <c r="AI15" i="3"/>
  <c r="Y34" i="3"/>
  <c r="AI16" i="3"/>
  <c r="AD6" i="3"/>
  <c r="Y30" i="3"/>
  <c r="AI13" i="3"/>
  <c r="P25" i="3"/>
  <c r="P25" i="4" s="1"/>
  <c r="AD3" i="3"/>
  <c r="AI12" i="3"/>
  <c r="Y28" i="3"/>
  <c r="P9" i="3"/>
  <c r="AI14" i="3"/>
  <c r="Y31" i="3"/>
  <c r="AI8" i="3"/>
  <c r="T21" i="2"/>
  <c r="T14" i="2"/>
  <c r="T13" i="2"/>
  <c r="T17" i="2"/>
  <c r="T25" i="2"/>
  <c r="T4" i="2"/>
  <c r="T8" i="2"/>
  <c r="T12" i="2"/>
  <c r="T20" i="2"/>
  <c r="T24" i="2"/>
  <c r="N11" i="2"/>
  <c r="N19" i="2"/>
  <c r="N23" i="2"/>
  <c r="N7" i="2"/>
  <c r="N3" i="2"/>
  <c r="T27" i="2" l="1"/>
  <c r="O9" i="11"/>
  <c r="O7" i="11"/>
  <c r="O5" i="23"/>
  <c r="O25" i="17"/>
  <c r="O11" i="20"/>
  <c r="N15" i="2"/>
  <c r="O14" i="20"/>
  <c r="O14" i="23"/>
  <c r="O9" i="17"/>
  <c r="O12" i="5"/>
  <c r="O3" i="14"/>
  <c r="O25" i="23"/>
  <c r="O4" i="14"/>
  <c r="O8" i="20"/>
  <c r="O26" i="8"/>
  <c r="O9" i="14"/>
  <c r="O5" i="8"/>
  <c r="O26" i="20"/>
  <c r="O15" i="23"/>
  <c r="O7" i="14"/>
  <c r="O25" i="20"/>
  <c r="O13" i="23"/>
  <c r="R27" i="17"/>
  <c r="O27" i="17"/>
  <c r="R11" i="14"/>
  <c r="O11" i="14"/>
  <c r="R20" i="14"/>
  <c r="O20" i="14"/>
  <c r="R5" i="5"/>
  <c r="O5" i="5"/>
  <c r="R21" i="5"/>
  <c r="O21" i="5"/>
  <c r="R21" i="20"/>
  <c r="O21" i="20"/>
  <c r="R3" i="11"/>
  <c r="O3" i="11"/>
  <c r="V32" i="21"/>
  <c r="V32" i="22" s="1"/>
  <c r="O9" i="23"/>
  <c r="R20" i="17"/>
  <c r="O20" i="17"/>
  <c r="R3" i="17"/>
  <c r="O3" i="17"/>
  <c r="R7" i="8"/>
  <c r="O7" i="8"/>
  <c r="R6" i="14"/>
  <c r="O6" i="14"/>
  <c r="R22" i="14"/>
  <c r="O22" i="14"/>
  <c r="R7" i="5"/>
  <c r="O7" i="5"/>
  <c r="R11" i="5"/>
  <c r="O11" i="5"/>
  <c r="R7" i="20"/>
  <c r="O7" i="20"/>
  <c r="R19" i="23"/>
  <c r="O19" i="23"/>
  <c r="V32" i="24"/>
  <c r="V32" i="25" s="1"/>
  <c r="R13" i="5"/>
  <c r="O13" i="5"/>
  <c r="R15" i="20"/>
  <c r="O15" i="20"/>
  <c r="R10" i="20"/>
  <c r="O10" i="20"/>
  <c r="R20" i="23"/>
  <c r="O20" i="23"/>
  <c r="O12" i="11"/>
  <c r="R24" i="11"/>
  <c r="O24" i="11"/>
  <c r="R7" i="23"/>
  <c r="O7" i="23"/>
  <c r="R27" i="11"/>
  <c r="O27" i="11"/>
  <c r="O8" i="14"/>
  <c r="R25" i="8"/>
  <c r="O25" i="8"/>
  <c r="O25" i="11"/>
  <c r="R20" i="5"/>
  <c r="O20" i="5"/>
  <c r="R3" i="23"/>
  <c r="O3" i="23"/>
  <c r="R7" i="17"/>
  <c r="O7" i="17"/>
  <c r="R16" i="17"/>
  <c r="O16" i="17"/>
  <c r="R26" i="14"/>
  <c r="O26" i="14"/>
  <c r="R26" i="5"/>
  <c r="O26" i="5"/>
  <c r="R6" i="20"/>
  <c r="O6" i="20"/>
  <c r="R19" i="11"/>
  <c r="O19" i="11"/>
  <c r="R26" i="17"/>
  <c r="O26" i="17"/>
  <c r="R16" i="8"/>
  <c r="O16" i="8"/>
  <c r="R17" i="8"/>
  <c r="O17" i="8"/>
  <c r="R14" i="5"/>
  <c r="O14" i="5"/>
  <c r="R4" i="5"/>
  <c r="O4" i="5"/>
  <c r="R20" i="20"/>
  <c r="O20" i="20"/>
  <c r="R9" i="20"/>
  <c r="O9" i="20"/>
  <c r="R12" i="23"/>
  <c r="O12" i="23"/>
  <c r="R6" i="17"/>
  <c r="O6" i="17"/>
  <c r="R14" i="17"/>
  <c r="O14" i="17"/>
  <c r="R14" i="8"/>
  <c r="O14" i="8"/>
  <c r="R8" i="8"/>
  <c r="O8" i="8"/>
  <c r="R10" i="14"/>
  <c r="O10" i="14"/>
  <c r="R10" i="5"/>
  <c r="O10" i="5"/>
  <c r="R18" i="20"/>
  <c r="O18" i="20"/>
  <c r="R19" i="20"/>
  <c r="O19" i="20"/>
  <c r="R20" i="11"/>
  <c r="O20" i="11"/>
  <c r="R13" i="11"/>
  <c r="O13" i="11"/>
  <c r="R21" i="17"/>
  <c r="O21" i="17"/>
  <c r="R19" i="17"/>
  <c r="O19" i="17"/>
  <c r="R27" i="8"/>
  <c r="O27" i="8"/>
  <c r="R22" i="5"/>
  <c r="O22" i="5"/>
  <c r="R17" i="23"/>
  <c r="O17" i="23"/>
  <c r="R4" i="11"/>
  <c r="O4" i="11"/>
  <c r="R15" i="11"/>
  <c r="O15" i="11"/>
  <c r="O5" i="17"/>
  <c r="O11" i="23"/>
  <c r="R24" i="17"/>
  <c r="O24" i="17"/>
  <c r="R15" i="17"/>
  <c r="O15" i="17"/>
  <c r="R24" i="8"/>
  <c r="O24" i="8"/>
  <c r="R3" i="8"/>
  <c r="O3" i="8"/>
  <c r="R13" i="8"/>
  <c r="O13" i="8"/>
  <c r="R22" i="8"/>
  <c r="O22" i="8"/>
  <c r="R13" i="14"/>
  <c r="O13" i="14"/>
  <c r="R25" i="14"/>
  <c r="O25" i="14"/>
  <c r="R18" i="14"/>
  <c r="O18" i="14"/>
  <c r="R12" i="14"/>
  <c r="O12" i="14"/>
  <c r="R8" i="5"/>
  <c r="O8" i="5"/>
  <c r="R15" i="5"/>
  <c r="O15" i="5"/>
  <c r="R4" i="20"/>
  <c r="O4" i="20"/>
  <c r="R24" i="20"/>
  <c r="O24" i="20"/>
  <c r="R16" i="20"/>
  <c r="O16" i="20"/>
  <c r="R18" i="23"/>
  <c r="O18" i="23"/>
  <c r="R10" i="23"/>
  <c r="O10" i="23"/>
  <c r="R4" i="23"/>
  <c r="O4" i="23"/>
  <c r="R6" i="11"/>
  <c r="O6" i="11"/>
  <c r="R17" i="11"/>
  <c r="O17" i="11"/>
  <c r="R23" i="17"/>
  <c r="O23" i="17"/>
  <c r="R23" i="8"/>
  <c r="O23" i="8"/>
  <c r="R23" i="5"/>
  <c r="O23" i="5"/>
  <c r="R16" i="11"/>
  <c r="O16" i="11"/>
  <c r="O8" i="17"/>
  <c r="R13" i="17"/>
  <c r="O13" i="17"/>
  <c r="R24" i="14"/>
  <c r="O24" i="14"/>
  <c r="R27" i="5"/>
  <c r="O27" i="5"/>
  <c r="R27" i="20"/>
  <c r="O27" i="20"/>
  <c r="R14" i="11"/>
  <c r="O14" i="11"/>
  <c r="R10" i="8"/>
  <c r="O10" i="8"/>
  <c r="R18" i="8"/>
  <c r="O18" i="8"/>
  <c r="R23" i="14"/>
  <c r="O23" i="14"/>
  <c r="R17" i="14"/>
  <c r="O17" i="14"/>
  <c r="R13" i="20"/>
  <c r="O13" i="20"/>
  <c r="R21" i="23"/>
  <c r="O21" i="23"/>
  <c r="R21" i="11"/>
  <c r="O21" i="11"/>
  <c r="O9" i="8"/>
  <c r="O11" i="17"/>
  <c r="R11" i="8"/>
  <c r="O11" i="8"/>
  <c r="R19" i="8"/>
  <c r="O19" i="8"/>
  <c r="R21" i="8"/>
  <c r="O21" i="8"/>
  <c r="R5" i="14"/>
  <c r="O5" i="14"/>
  <c r="R12" i="20"/>
  <c r="O12" i="20"/>
  <c r="V32" i="15"/>
  <c r="V32" i="16" s="1"/>
  <c r="O6" i="5"/>
  <c r="O16" i="5"/>
  <c r="R18" i="17"/>
  <c r="O18" i="17"/>
  <c r="R6" i="8"/>
  <c r="O6" i="8"/>
  <c r="R21" i="14"/>
  <c r="O21" i="14"/>
  <c r="R15" i="14"/>
  <c r="O15" i="14"/>
  <c r="R24" i="5"/>
  <c r="O24" i="5"/>
  <c r="R22" i="20"/>
  <c r="O22" i="20"/>
  <c r="R23" i="23"/>
  <c r="O23" i="23"/>
  <c r="O12" i="17"/>
  <c r="O26" i="23"/>
  <c r="O10" i="17"/>
  <c r="R22" i="17"/>
  <c r="O22" i="17"/>
  <c r="R4" i="17"/>
  <c r="O4" i="17"/>
  <c r="R17" i="17"/>
  <c r="O17" i="17"/>
  <c r="R20" i="8"/>
  <c r="O20" i="8"/>
  <c r="R4" i="8"/>
  <c r="O4" i="8"/>
  <c r="R14" i="14"/>
  <c r="O14" i="14"/>
  <c r="R19" i="14"/>
  <c r="O19" i="14"/>
  <c r="R17" i="5"/>
  <c r="O17" i="5"/>
  <c r="R23" i="20"/>
  <c r="O23" i="20"/>
  <c r="O25" i="5"/>
  <c r="R16" i="23"/>
  <c r="O16" i="23"/>
  <c r="R6" i="23"/>
  <c r="O6" i="23"/>
  <c r="R27" i="23"/>
  <c r="O27" i="23"/>
  <c r="R5" i="11"/>
  <c r="O5" i="11"/>
  <c r="R8" i="11"/>
  <c r="O8" i="11"/>
  <c r="R22" i="11"/>
  <c r="O22" i="11"/>
  <c r="R23" i="11"/>
  <c r="O23" i="11"/>
  <c r="O9" i="5"/>
  <c r="R15" i="8"/>
  <c r="O15" i="8"/>
  <c r="R12" i="8"/>
  <c r="O12" i="8"/>
  <c r="O3" i="20"/>
  <c r="R16" i="14"/>
  <c r="O16" i="14"/>
  <c r="R27" i="14"/>
  <c r="O27" i="14"/>
  <c r="R18" i="5"/>
  <c r="O18" i="5"/>
  <c r="R19" i="5"/>
  <c r="O19" i="5"/>
  <c r="R17" i="20"/>
  <c r="O17" i="20"/>
  <c r="R5" i="20"/>
  <c r="O5" i="20"/>
  <c r="R22" i="23"/>
  <c r="O22" i="23"/>
  <c r="R8" i="23"/>
  <c r="O8" i="23"/>
  <c r="R24" i="23"/>
  <c r="O24" i="23"/>
  <c r="R10" i="11"/>
  <c r="O10" i="11"/>
  <c r="R18" i="11"/>
  <c r="O18" i="11"/>
  <c r="R26" i="11"/>
  <c r="O26" i="11"/>
  <c r="R11" i="11"/>
  <c r="O11" i="11"/>
  <c r="AD13" i="6"/>
  <c r="AD10" i="6"/>
  <c r="P33" i="6" s="1"/>
  <c r="P33" i="7" s="1"/>
  <c r="P25" i="7"/>
  <c r="K13" i="4"/>
  <c r="AI7" i="3"/>
  <c r="AD7" i="3"/>
  <c r="K29" i="4"/>
  <c r="AD12" i="3"/>
  <c r="P9" i="4"/>
  <c r="AD9" i="3"/>
  <c r="P31" i="3" s="1"/>
  <c r="P31" i="4" s="1"/>
  <c r="AD10" i="3"/>
  <c r="P33" i="3" s="1"/>
  <c r="P33" i="4" s="1"/>
  <c r="AI9" i="3"/>
  <c r="N21" i="2"/>
  <c r="O21" i="2" s="1"/>
  <c r="AD13" i="3"/>
  <c r="U17" i="3"/>
  <c r="U17" i="4" s="1"/>
  <c r="O11" i="2"/>
  <c r="U11" i="2"/>
  <c r="N6" i="2"/>
  <c r="T6" i="2"/>
  <c r="O23" i="2"/>
  <c r="U23" i="2"/>
  <c r="N5" i="2"/>
  <c r="T5" i="2"/>
  <c r="N18" i="2"/>
  <c r="T18" i="2"/>
  <c r="N16" i="2"/>
  <c r="U16" i="2" s="1"/>
  <c r="T16" i="2"/>
  <c r="N22" i="2"/>
  <c r="T22" i="2"/>
  <c r="O3" i="2"/>
  <c r="U3" i="2"/>
  <c r="O19" i="2"/>
  <c r="U19" i="2"/>
  <c r="O27" i="2"/>
  <c r="U27" i="2"/>
  <c r="O7" i="2"/>
  <c r="U7" i="2"/>
  <c r="O15" i="2"/>
  <c r="U15" i="2"/>
  <c r="N26" i="2"/>
  <c r="T26" i="2"/>
  <c r="N10" i="2"/>
  <c r="T10" i="2"/>
  <c r="N9" i="2"/>
  <c r="T9" i="2"/>
  <c r="N14" i="2"/>
  <c r="N20" i="2"/>
  <c r="U20" i="2" s="1"/>
  <c r="N8" i="2"/>
  <c r="N25" i="2"/>
  <c r="N13" i="2"/>
  <c r="N12" i="2"/>
  <c r="N24" i="2"/>
  <c r="N17" i="2"/>
  <c r="N4" i="2"/>
  <c r="P16" i="14" l="1"/>
  <c r="P18" i="5"/>
  <c r="P10" i="5"/>
  <c r="P11" i="20"/>
  <c r="P10" i="14"/>
  <c r="P27" i="23"/>
  <c r="P9" i="8"/>
  <c r="P9" i="23"/>
  <c r="P13" i="8"/>
  <c r="P24" i="17"/>
  <c r="P21" i="17"/>
  <c r="P22" i="17"/>
  <c r="P7" i="11"/>
  <c r="P22" i="11"/>
  <c r="P12" i="23"/>
  <c r="P18" i="14"/>
  <c r="P12" i="8"/>
  <c r="P17" i="5"/>
  <c r="P20" i="8"/>
  <c r="P23" i="14"/>
  <c r="P8" i="17"/>
  <c r="P17" i="23"/>
  <c r="P21" i="20"/>
  <c r="P5" i="8"/>
  <c r="P26" i="11"/>
  <c r="P8" i="23"/>
  <c r="P16" i="5"/>
  <c r="P18" i="23"/>
  <c r="P11" i="23"/>
  <c r="P19" i="14"/>
  <c r="P19" i="8"/>
  <c r="P18" i="8"/>
  <c r="P15" i="23"/>
  <c r="P19" i="23"/>
  <c r="P22" i="14"/>
  <c r="P20" i="17"/>
  <c r="P22" i="23"/>
  <c r="P8" i="11"/>
  <c r="P16" i="23"/>
  <c r="P21" i="14"/>
  <c r="P8" i="5"/>
  <c r="P6" i="11"/>
  <c r="P17" i="20"/>
  <c r="P15" i="8"/>
  <c r="P11" i="8"/>
  <c r="P20" i="11"/>
  <c r="P3" i="14"/>
  <c r="P6" i="17"/>
  <c r="P27" i="5"/>
  <c r="P26" i="17"/>
  <c r="P26" i="14"/>
  <c r="P20" i="5"/>
  <c r="P26" i="23"/>
  <c r="P12" i="20"/>
  <c r="P20" i="14"/>
  <c r="P10" i="17"/>
  <c r="P21" i="11"/>
  <c r="P11" i="14"/>
  <c r="P4" i="14"/>
  <c r="P26" i="20"/>
  <c r="P15" i="14"/>
  <c r="P17" i="11"/>
  <c r="P26" i="8"/>
  <c r="P8" i="14"/>
  <c r="P26" i="5"/>
  <c r="P27" i="8"/>
  <c r="P18" i="11"/>
  <c r="P15" i="11"/>
  <c r="P16" i="20"/>
  <c r="P10" i="11"/>
  <c r="P9" i="20"/>
  <c r="P25" i="5"/>
  <c r="P24" i="20"/>
  <c r="P12" i="14"/>
  <c r="P22" i="8"/>
  <c r="P15" i="17"/>
  <c r="P8" i="20"/>
  <c r="P9" i="5"/>
  <c r="P6" i="8"/>
  <c r="P14" i="11"/>
  <c r="P13" i="11"/>
  <c r="P19" i="17"/>
  <c r="P8" i="8"/>
  <c r="P7" i="8"/>
  <c r="P27" i="14"/>
  <c r="P9" i="17"/>
  <c r="P24" i="23"/>
  <c r="P4" i="8"/>
  <c r="P25" i="11"/>
  <c r="P27" i="17"/>
  <c r="P25" i="20"/>
  <c r="P22" i="5"/>
  <c r="U21" i="2"/>
  <c r="P14" i="5"/>
  <c r="P10" i="8"/>
  <c r="P5" i="11"/>
  <c r="P17" i="17"/>
  <c r="P3" i="20"/>
  <c r="P5" i="5"/>
  <c r="P21" i="5"/>
  <c r="P11" i="5"/>
  <c r="P21" i="8"/>
  <c r="P14" i="14"/>
  <c r="P5" i="20"/>
  <c r="P14" i="23"/>
  <c r="P9" i="14"/>
  <c r="P13" i="5"/>
  <c r="P27" i="11"/>
  <c r="P23" i="17"/>
  <c r="P18" i="20"/>
  <c r="P20" i="20"/>
  <c r="P7" i="23"/>
  <c r="P4" i="23"/>
  <c r="P5" i="23"/>
  <c r="P3" i="5"/>
  <c r="P7" i="5"/>
  <c r="P3" i="11"/>
  <c r="P17" i="14"/>
  <c r="P7" i="14"/>
  <c r="P4" i="17"/>
  <c r="P18" i="17"/>
  <c r="P14" i="17"/>
  <c r="P10" i="20"/>
  <c r="P7" i="20"/>
  <c r="P20" i="23"/>
  <c r="P6" i="23"/>
  <c r="P12" i="5"/>
  <c r="P12" i="11"/>
  <c r="P14" i="8"/>
  <c r="P23" i="8"/>
  <c r="P16" i="11"/>
  <c r="P13" i="17"/>
  <c r="P15" i="20"/>
  <c r="P21" i="23"/>
  <c r="P23" i="5"/>
  <c r="P19" i="11"/>
  <c r="P19" i="20"/>
  <c r="P9" i="11"/>
  <c r="P3" i="17"/>
  <c r="P23" i="20"/>
  <c r="P6" i="5"/>
  <c r="P24" i="11"/>
  <c r="P6" i="14"/>
  <c r="P25" i="17"/>
  <c r="P13" i="20"/>
  <c r="P24" i="5"/>
  <c r="P4" i="5"/>
  <c r="P16" i="8"/>
  <c r="P11" i="11"/>
  <c r="P13" i="14"/>
  <c r="P24" i="14"/>
  <c r="P5" i="17"/>
  <c r="P16" i="17"/>
  <c r="P14" i="20"/>
  <c r="P6" i="20"/>
  <c r="P4" i="20"/>
  <c r="P25" i="23"/>
  <c r="P10" i="23"/>
  <c r="P19" i="5"/>
  <c r="P4" i="11"/>
  <c r="P25" i="14"/>
  <c r="P27" i="20"/>
  <c r="P13" i="23"/>
  <c r="P17" i="8"/>
  <c r="P23" i="11"/>
  <c r="P12" i="17"/>
  <c r="P23" i="23"/>
  <c r="P25" i="8"/>
  <c r="P5" i="14"/>
  <c r="P7" i="17"/>
  <c r="P15" i="5"/>
  <c r="P3" i="8"/>
  <c r="P24" i="8"/>
  <c r="P22" i="20"/>
  <c r="P3" i="23"/>
  <c r="AB3" i="23" s="1"/>
  <c r="P11" i="17"/>
  <c r="O20" i="2"/>
  <c r="O16" i="2"/>
  <c r="O4" i="2"/>
  <c r="U4" i="2"/>
  <c r="O13" i="2"/>
  <c r="U13" i="2"/>
  <c r="O9" i="2"/>
  <c r="U9" i="2"/>
  <c r="O26" i="2"/>
  <c r="U26" i="2"/>
  <c r="O5" i="2"/>
  <c r="U5" i="2"/>
  <c r="O6" i="2"/>
  <c r="U6" i="2"/>
  <c r="O17" i="2"/>
  <c r="U17" i="2"/>
  <c r="O25" i="2"/>
  <c r="U25" i="2"/>
  <c r="O14" i="2"/>
  <c r="U14" i="2"/>
  <c r="O12" i="2"/>
  <c r="U12" i="2"/>
  <c r="O24" i="2"/>
  <c r="U24" i="2"/>
  <c r="O8" i="2"/>
  <c r="U8" i="2"/>
  <c r="O10" i="2"/>
  <c r="U10" i="2"/>
  <c r="O22" i="2"/>
  <c r="U22" i="2"/>
  <c r="O18" i="2"/>
  <c r="U18" i="2"/>
  <c r="Z3" i="11" l="1"/>
  <c r="AD3" i="11" s="1"/>
  <c r="AE3" i="11" s="1"/>
  <c r="AF3" i="11" s="1"/>
  <c r="X3" i="11" s="1"/>
  <c r="AC8" i="17"/>
  <c r="AA5" i="11"/>
  <c r="AC14" i="20"/>
  <c r="AC21" i="11"/>
  <c r="AB23" i="8"/>
  <c r="AB21" i="17"/>
  <c r="AB14" i="5"/>
  <c r="AA26" i="5"/>
  <c r="AB24" i="5"/>
  <c r="AB22" i="5"/>
  <c r="AB26" i="5"/>
  <c r="Z26" i="5"/>
  <c r="AD26" i="5" s="1"/>
  <c r="AA24" i="5"/>
  <c r="AA22" i="5"/>
  <c r="AB27" i="5"/>
  <c r="AB25" i="5"/>
  <c r="AC27" i="5"/>
  <c r="AC25" i="5"/>
  <c r="Z24" i="5"/>
  <c r="AD24" i="5" s="1"/>
  <c r="Z22" i="5"/>
  <c r="AD22" i="5" s="1"/>
  <c r="AC23" i="5"/>
  <c r="AC26" i="5"/>
  <c r="AC24" i="5"/>
  <c r="Z23" i="5"/>
  <c r="AD23" i="5" s="1"/>
  <c r="AC22" i="5"/>
  <c r="AA27" i="5"/>
  <c r="AA25" i="5"/>
  <c r="AB23" i="5"/>
  <c r="Z27" i="5"/>
  <c r="AD27" i="5" s="1"/>
  <c r="Z25" i="5"/>
  <c r="AD25" i="5" s="1"/>
  <c r="AA23" i="5"/>
  <c r="AA12" i="14"/>
  <c r="AB11" i="11"/>
  <c r="AA10" i="14"/>
  <c r="AA25" i="14"/>
  <c r="AC17" i="8"/>
  <c r="AC15" i="14"/>
  <c r="Z19" i="8"/>
  <c r="AD19" i="8" s="1"/>
  <c r="AB10" i="5"/>
  <c r="AC16" i="11"/>
  <c r="AB17" i="20"/>
  <c r="AC24" i="20"/>
  <c r="AB14" i="8"/>
  <c r="AC25" i="23"/>
  <c r="AC17" i="5"/>
  <c r="AB22" i="20"/>
  <c r="AB22" i="14"/>
  <c r="AA25" i="17"/>
  <c r="AA21" i="5"/>
  <c r="AA13" i="11"/>
  <c r="Z24" i="20"/>
  <c r="AD24" i="20" s="1"/>
  <c r="AB10" i="17"/>
  <c r="AB14" i="20"/>
  <c r="AB10" i="8"/>
  <c r="Z19" i="11"/>
  <c r="AD19" i="11" s="1"/>
  <c r="AA26" i="17"/>
  <c r="AC12" i="20"/>
  <c r="AB11" i="23"/>
  <c r="Z4" i="8"/>
  <c r="AD4" i="8" s="1"/>
  <c r="AB27" i="11"/>
  <c r="AA16" i="14"/>
  <c r="Z23" i="8"/>
  <c r="AD23" i="8" s="1"/>
  <c r="AC7" i="11"/>
  <c r="AB21" i="14"/>
  <c r="Z10" i="17"/>
  <c r="AD10" i="17" s="1"/>
  <c r="AG10" i="17" s="1"/>
  <c r="AA19" i="23"/>
  <c r="AC25" i="17"/>
  <c r="AA5" i="5"/>
  <c r="Z13" i="8"/>
  <c r="AD13" i="8" s="1"/>
  <c r="AA22" i="8"/>
  <c r="Z14" i="8"/>
  <c r="AD14" i="8" s="1"/>
  <c r="AB3" i="11"/>
  <c r="Z26" i="11"/>
  <c r="AD26" i="11" s="1"/>
  <c r="Z25" i="14"/>
  <c r="AD25" i="14" s="1"/>
  <c r="AG25" i="14" s="1"/>
  <c r="AB10" i="14"/>
  <c r="AA24" i="14"/>
  <c r="AB9" i="17"/>
  <c r="AB18" i="17"/>
  <c r="AA14" i="20"/>
  <c r="Z3" i="23"/>
  <c r="AD3" i="23" s="1"/>
  <c r="AB3" i="5"/>
  <c r="AA21" i="11"/>
  <c r="Z16" i="8"/>
  <c r="AD16" i="8" s="1"/>
  <c r="AB20" i="23"/>
  <c r="AB16" i="14"/>
  <c r="AA21" i="20"/>
  <c r="Z17" i="8"/>
  <c r="AD17" i="8" s="1"/>
  <c r="Z15" i="8"/>
  <c r="AD15" i="8" s="1"/>
  <c r="AB26" i="8"/>
  <c r="Z3" i="14"/>
  <c r="AD3" i="14" s="1"/>
  <c r="AG3" i="14" s="1"/>
  <c r="AB3" i="14"/>
  <c r="AB26" i="14"/>
  <c r="AC23" i="14"/>
  <c r="AB21" i="20"/>
  <c r="Z5" i="23"/>
  <c r="AD5" i="23" s="1"/>
  <c r="AG5" i="23" s="1"/>
  <c r="AB13" i="8"/>
  <c r="AB19" i="8"/>
  <c r="AC6" i="14"/>
  <c r="AA6" i="14"/>
  <c r="AB15" i="14"/>
  <c r="AC20" i="5"/>
  <c r="AB8" i="8"/>
  <c r="AA3" i="11"/>
  <c r="AB7" i="14"/>
  <c r="Z7" i="14"/>
  <c r="AD7" i="14" s="1"/>
  <c r="AG7" i="14" s="1"/>
  <c r="AB19" i="17"/>
  <c r="AA20" i="17"/>
  <c r="AC3" i="23"/>
  <c r="AC20" i="23"/>
  <c r="AA7" i="8"/>
  <c r="AC7" i="8"/>
  <c r="AB18" i="11"/>
  <c r="AC24" i="14"/>
  <c r="AB23" i="14"/>
  <c r="AA24" i="20"/>
  <c r="AA5" i="23"/>
  <c r="AC9" i="23"/>
  <c r="AC15" i="20"/>
  <c r="AA20" i="11"/>
  <c r="AC9" i="5"/>
  <c r="Z27" i="8"/>
  <c r="AD27" i="8" s="1"/>
  <c r="Z25" i="8"/>
  <c r="AD25" i="8" s="1"/>
  <c r="Z11" i="8"/>
  <c r="AD11" i="8" s="1"/>
  <c r="Z11" i="11"/>
  <c r="AD11" i="11" s="1"/>
  <c r="AC3" i="14"/>
  <c r="AA3" i="14"/>
  <c r="AC17" i="14"/>
  <c r="AB14" i="14"/>
  <c r="AA27" i="17"/>
  <c r="Z26" i="17"/>
  <c r="AD26" i="17" s="1"/>
  <c r="Z5" i="20"/>
  <c r="AD5" i="20" s="1"/>
  <c r="AG5" i="20" s="1"/>
  <c r="AB5" i="23"/>
  <c r="AC4" i="5"/>
  <c r="AA21" i="14"/>
  <c r="AB25" i="8"/>
  <c r="AA27" i="23"/>
  <c r="AA16" i="5"/>
  <c r="AB13" i="5"/>
  <c r="AB18" i="8"/>
  <c r="AC3" i="11"/>
  <c r="AA9" i="14"/>
  <c r="AC9" i="14"/>
  <c r="Z18" i="14"/>
  <c r="AD18" i="14" s="1"/>
  <c r="AF18" i="14" s="1"/>
  <c r="X18" i="14" s="1"/>
  <c r="AC10" i="17"/>
  <c r="AB4" i="20"/>
  <c r="AA3" i="23"/>
  <c r="AC25" i="11"/>
  <c r="Z9" i="23"/>
  <c r="AD9" i="23" s="1"/>
  <c r="AG9" i="23" s="1"/>
  <c r="Z26" i="23"/>
  <c r="AD26" i="23" s="1"/>
  <c r="AG26" i="23" s="1"/>
  <c r="AC12" i="5"/>
  <c r="Z15" i="5"/>
  <c r="AD15" i="5" s="1"/>
  <c r="Z20" i="5"/>
  <c r="AD20" i="5" s="1"/>
  <c r="AC20" i="11"/>
  <c r="Z14" i="11"/>
  <c r="AD14" i="11" s="1"/>
  <c r="AA19" i="11"/>
  <c r="AC22" i="17"/>
  <c r="AA12" i="17"/>
  <c r="Z21" i="17"/>
  <c r="AD21" i="17" s="1"/>
  <c r="AB6" i="20"/>
  <c r="AB25" i="20"/>
  <c r="Z15" i="20"/>
  <c r="AD15" i="20" s="1"/>
  <c r="AF15" i="20" s="1"/>
  <c r="X15" i="20" s="1"/>
  <c r="Z8" i="23"/>
  <c r="AD8" i="23" s="1"/>
  <c r="AF8" i="23" s="1"/>
  <c r="X8" i="23" s="1"/>
  <c r="AC6" i="8"/>
  <c r="Z7" i="8"/>
  <c r="AD7" i="8" s="1"/>
  <c r="AB5" i="11"/>
  <c r="AA15" i="11"/>
  <c r="Z12" i="11"/>
  <c r="AD12" i="11" s="1"/>
  <c r="AB17" i="14"/>
  <c r="AC8" i="14"/>
  <c r="Z17" i="14"/>
  <c r="AD17" i="14" s="1"/>
  <c r="AF17" i="14" s="1"/>
  <c r="X17" i="14" s="1"/>
  <c r="AB6" i="17"/>
  <c r="Z4" i="17"/>
  <c r="AD4" i="17" s="1"/>
  <c r="AG4" i="17" s="1"/>
  <c r="AA14" i="17"/>
  <c r="AA9" i="20"/>
  <c r="Z3" i="20"/>
  <c r="AD3" i="20" s="1"/>
  <c r="AF3" i="20" s="1"/>
  <c r="X3" i="20" s="1"/>
  <c r="Z7" i="20"/>
  <c r="AD7" i="20" s="1"/>
  <c r="AF7" i="20" s="1"/>
  <c r="X7" i="20" s="1"/>
  <c r="AB24" i="20"/>
  <c r="AB27" i="23"/>
  <c r="Z20" i="23"/>
  <c r="AD20" i="23" s="1"/>
  <c r="AC6" i="5"/>
  <c r="Z19" i="5"/>
  <c r="AD19" i="5" s="1"/>
  <c r="AC8" i="8"/>
  <c r="Z22" i="23"/>
  <c r="AD22" i="23" s="1"/>
  <c r="Z10" i="23"/>
  <c r="AD10" i="23" s="1"/>
  <c r="AF10" i="23" s="1"/>
  <c r="X10" i="23" s="1"/>
  <c r="AA13" i="5"/>
  <c r="AA17" i="5"/>
  <c r="AB6" i="11"/>
  <c r="AA4" i="11"/>
  <c r="AC12" i="11"/>
  <c r="AC27" i="11"/>
  <c r="AB4" i="17"/>
  <c r="AA3" i="17"/>
  <c r="AB13" i="17"/>
  <c r="AC27" i="17"/>
  <c r="Z14" i="20"/>
  <c r="AD14" i="20" s="1"/>
  <c r="AF14" i="20" s="1"/>
  <c r="X14" i="20" s="1"/>
  <c r="AA6" i="20"/>
  <c r="AC23" i="20"/>
  <c r="Z4" i="23"/>
  <c r="AD4" i="23" s="1"/>
  <c r="AG4" i="23" s="1"/>
  <c r="AC10" i="23"/>
  <c r="Z11" i="23"/>
  <c r="AD11" i="23" s="1"/>
  <c r="AG11" i="23" s="1"/>
  <c r="AC27" i="23"/>
  <c r="Z4" i="5"/>
  <c r="AD4" i="5" s="1"/>
  <c r="Z18" i="5"/>
  <c r="AD18" i="5" s="1"/>
  <c r="AB20" i="5"/>
  <c r="Z16" i="5"/>
  <c r="AD16" i="5" s="1"/>
  <c r="Z17" i="5"/>
  <c r="AD17" i="5" s="1"/>
  <c r="Z22" i="8"/>
  <c r="AD22" i="8" s="1"/>
  <c r="AA8" i="8"/>
  <c r="AC9" i="11"/>
  <c r="AA23" i="11"/>
  <c r="AB20" i="11"/>
  <c r="AA8" i="14"/>
  <c r="AC19" i="14"/>
  <c r="AB25" i="14"/>
  <c r="Z8" i="17"/>
  <c r="AD8" i="17" s="1"/>
  <c r="AG8" i="17" s="1"/>
  <c r="Z13" i="17"/>
  <c r="AD13" i="17" s="1"/>
  <c r="AF13" i="17" s="1"/>
  <c r="X13" i="17" s="1"/>
  <c r="AA22" i="17"/>
  <c r="Z8" i="20"/>
  <c r="AD8" i="20" s="1"/>
  <c r="AG8" i="20" s="1"/>
  <c r="AB27" i="20"/>
  <c r="AB19" i="20"/>
  <c r="AB16" i="20"/>
  <c r="AC5" i="23"/>
  <c r="AA12" i="23"/>
  <c r="Z12" i="23"/>
  <c r="AD12" i="23" s="1"/>
  <c r="AF12" i="23" s="1"/>
  <c r="X12" i="23" s="1"/>
  <c r="AC8" i="5"/>
  <c r="Z10" i="5"/>
  <c r="AD10" i="5" s="1"/>
  <c r="AC16" i="8"/>
  <c r="AC10" i="8"/>
  <c r="AA5" i="8"/>
  <c r="AB24" i="8"/>
  <c r="AC6" i="11"/>
  <c r="Z10" i="11"/>
  <c r="AD10" i="11" s="1"/>
  <c r="Z16" i="11"/>
  <c r="AD16" i="11" s="1"/>
  <c r="AA22" i="11"/>
  <c r="AB4" i="14"/>
  <c r="Z4" i="14"/>
  <c r="AD4" i="14" s="1"/>
  <c r="AF4" i="14" s="1"/>
  <c r="X4" i="14" s="1"/>
  <c r="AB12" i="14"/>
  <c r="AA18" i="14"/>
  <c r="AA17" i="14"/>
  <c r="AC12" i="17"/>
  <c r="AC19" i="17"/>
  <c r="AB3" i="17"/>
  <c r="AC13" i="17"/>
  <c r="AA5" i="20"/>
  <c r="AA25" i="20"/>
  <c r="AC16" i="20"/>
  <c r="AC5" i="20"/>
  <c r="Z17" i="20"/>
  <c r="AD17" i="20" s="1"/>
  <c r="AG17" i="20" s="1"/>
  <c r="AA17" i="20"/>
  <c r="Z23" i="23"/>
  <c r="AD23" i="23" s="1"/>
  <c r="AG23" i="23" s="1"/>
  <c r="AC6" i="23"/>
  <c r="Z24" i="23"/>
  <c r="AD24" i="23" s="1"/>
  <c r="AA26" i="23"/>
  <c r="AC13" i="23"/>
  <c r="AC3" i="5"/>
  <c r="AC4" i="8"/>
  <c r="AB15" i="5"/>
  <c r="AA9" i="5"/>
  <c r="Z21" i="5"/>
  <c r="AD21" i="5" s="1"/>
  <c r="AB17" i="5"/>
  <c r="AC14" i="5"/>
  <c r="AC7" i="5"/>
  <c r="AC15" i="8"/>
  <c r="AB11" i="8"/>
  <c r="AC9" i="8"/>
  <c r="AA10" i="8"/>
  <c r="AA13" i="8"/>
  <c r="AA20" i="8"/>
  <c r="AA23" i="8"/>
  <c r="AC21" i="8"/>
  <c r="AA21" i="8"/>
  <c r="AC20" i="8"/>
  <c r="AA26" i="8"/>
  <c r="Z12" i="8"/>
  <c r="AD12" i="8" s="1"/>
  <c r="AB6" i="8"/>
  <c r="AA9" i="11"/>
  <c r="AB7" i="11"/>
  <c r="AB17" i="11"/>
  <c r="Z7" i="11"/>
  <c r="AD7" i="11" s="1"/>
  <c r="Z23" i="11"/>
  <c r="AD23" i="11" s="1"/>
  <c r="AC17" i="11"/>
  <c r="AA25" i="11"/>
  <c r="AB15" i="11"/>
  <c r="AB23" i="11"/>
  <c r="AB14" i="11"/>
  <c r="AB22" i="11"/>
  <c r="AA5" i="14"/>
  <c r="Z23" i="14"/>
  <c r="AD23" i="14" s="1"/>
  <c r="AG23" i="14" s="1"/>
  <c r="Z11" i="14"/>
  <c r="AD11" i="14" s="1"/>
  <c r="AG11" i="14" s="1"/>
  <c r="AC5" i="14"/>
  <c r="Z27" i="14"/>
  <c r="AD27" i="14" s="1"/>
  <c r="Z10" i="14"/>
  <c r="AD10" i="14" s="1"/>
  <c r="AG10" i="14" s="1"/>
  <c r="AA13" i="14"/>
  <c r="AC21" i="14"/>
  <c r="AB11" i="14"/>
  <c r="Z19" i="14"/>
  <c r="AD19" i="14" s="1"/>
  <c r="AF19" i="14" s="1"/>
  <c r="X19" i="14" s="1"/>
  <c r="AB27" i="14"/>
  <c r="AB18" i="14"/>
  <c r="Z26" i="14"/>
  <c r="AD26" i="14" s="1"/>
  <c r="AA11" i="17"/>
  <c r="AC17" i="17"/>
  <c r="AA7" i="17"/>
  <c r="Z20" i="17"/>
  <c r="AD20" i="17" s="1"/>
  <c r="AG20" i="17" s="1"/>
  <c r="Z6" i="17"/>
  <c r="AD6" i="17" s="1"/>
  <c r="AG6" i="17" s="1"/>
  <c r="Z15" i="17"/>
  <c r="AD15" i="17" s="1"/>
  <c r="AG15" i="17" s="1"/>
  <c r="AA4" i="17"/>
  <c r="AA13" i="17"/>
  <c r="AA16" i="17"/>
  <c r="AA24" i="17"/>
  <c r="AB14" i="17"/>
  <c r="AB22" i="17"/>
  <c r="AC3" i="20"/>
  <c r="AA11" i="20"/>
  <c r="Z21" i="20"/>
  <c r="AD21" i="20" s="1"/>
  <c r="AG21" i="20" s="1"/>
  <c r="AC6" i="20"/>
  <c r="AC17" i="20"/>
  <c r="Z6" i="20"/>
  <c r="AD6" i="20" s="1"/>
  <c r="AF6" i="20" s="1"/>
  <c r="X6" i="20" s="1"/>
  <c r="AC7" i="20"/>
  <c r="Z22" i="20"/>
  <c r="AD22" i="20" s="1"/>
  <c r="AG22" i="20" s="1"/>
  <c r="Z9" i="20"/>
  <c r="AD9" i="20" s="1"/>
  <c r="AG9" i="20" s="1"/>
  <c r="AC18" i="20"/>
  <c r="Z10" i="20"/>
  <c r="AD10" i="20" s="1"/>
  <c r="AF10" i="20" s="1"/>
  <c r="X10" i="20" s="1"/>
  <c r="AB18" i="20"/>
  <c r="Z26" i="20"/>
  <c r="AD26" i="20" s="1"/>
  <c r="AG26" i="20" s="1"/>
  <c r="AA25" i="23"/>
  <c r="AB17" i="23"/>
  <c r="AA11" i="23"/>
  <c r="AB7" i="23"/>
  <c r="AC16" i="23"/>
  <c r="AB25" i="23"/>
  <c r="AA14" i="23"/>
  <c r="Z27" i="23"/>
  <c r="AD27" i="23" s="1"/>
  <c r="AG27" i="23" s="1"/>
  <c r="AC14" i="23"/>
  <c r="AC24" i="23"/>
  <c r="AB14" i="23"/>
  <c r="AB22" i="23"/>
  <c r="Z3" i="5"/>
  <c r="AD3" i="5" s="1"/>
  <c r="AB4" i="5"/>
  <c r="AB16" i="8"/>
  <c r="AC18" i="23"/>
  <c r="AB18" i="23"/>
  <c r="AB19" i="5"/>
  <c r="Z11" i="5"/>
  <c r="AD11" i="5" s="1"/>
  <c r="AA8" i="5"/>
  <c r="AB8" i="11"/>
  <c r="Z22" i="11"/>
  <c r="AD22" i="11" s="1"/>
  <c r="AC11" i="11"/>
  <c r="AB11" i="17"/>
  <c r="AC24" i="17"/>
  <c r="AC11" i="17"/>
  <c r="Z18" i="20"/>
  <c r="AD18" i="20" s="1"/>
  <c r="AG18" i="20" s="1"/>
  <c r="AA26" i="20"/>
  <c r="Z25" i="20"/>
  <c r="AD25" i="20" s="1"/>
  <c r="AG25" i="20" s="1"/>
  <c r="AB6" i="23"/>
  <c r="Z13" i="23"/>
  <c r="AD13" i="23" s="1"/>
  <c r="AG13" i="23" s="1"/>
  <c r="AB23" i="23"/>
  <c r="AC11" i="23"/>
  <c r="AC13" i="5"/>
  <c r="AA15" i="5"/>
  <c r="AC24" i="8"/>
  <c r="Z10" i="8"/>
  <c r="AD10" i="8" s="1"/>
  <c r="AB15" i="8"/>
  <c r="AA7" i="11"/>
  <c r="Z5" i="11"/>
  <c r="AD5" i="11" s="1"/>
  <c r="AB13" i="11"/>
  <c r="AB19" i="14"/>
  <c r="AA27" i="14"/>
  <c r="AB24" i="14"/>
  <c r="AB17" i="17"/>
  <c r="Z11" i="17"/>
  <c r="AD11" i="17" s="1"/>
  <c r="AG11" i="17" s="1"/>
  <c r="AB20" i="17"/>
  <c r="AB15" i="20"/>
  <c r="Z16" i="20"/>
  <c r="AD16" i="20" s="1"/>
  <c r="AF16" i="20" s="1"/>
  <c r="X16" i="20" s="1"/>
  <c r="AA9" i="23"/>
  <c r="Z14" i="23"/>
  <c r="AD14" i="23" s="1"/>
  <c r="AF14" i="23" s="1"/>
  <c r="X14" i="23" s="1"/>
  <c r="AB12" i="23"/>
  <c r="AC5" i="5"/>
  <c r="Z12" i="5"/>
  <c r="AD12" i="5" s="1"/>
  <c r="AB9" i="5"/>
  <c r="AA19" i="8"/>
  <c r="AC22" i="8"/>
  <c r="AA27" i="8"/>
  <c r="AA25" i="8"/>
  <c r="Z8" i="11"/>
  <c r="AD8" i="11" s="1"/>
  <c r="AA6" i="11"/>
  <c r="Z24" i="11"/>
  <c r="AD24" i="11" s="1"/>
  <c r="AC13" i="11"/>
  <c r="AC22" i="14"/>
  <c r="AA26" i="14"/>
  <c r="AC10" i="14"/>
  <c r="AC25" i="14"/>
  <c r="AC3" i="17"/>
  <c r="AC14" i="17"/>
  <c r="AB12" i="17"/>
  <c r="AB23" i="17"/>
  <c r="AA21" i="17"/>
  <c r="AA10" i="20"/>
  <c r="AC4" i="20"/>
  <c r="Z4" i="20"/>
  <c r="AD4" i="20" s="1"/>
  <c r="AG4" i="20" s="1"/>
  <c r="AC8" i="20"/>
  <c r="AA27" i="20"/>
  <c r="AC25" i="20"/>
  <c r="AA16" i="23"/>
  <c r="AA10" i="23"/>
  <c r="AB15" i="23"/>
  <c r="AA13" i="23"/>
  <c r="AB13" i="23"/>
  <c r="AA22" i="23"/>
  <c r="AA21" i="23"/>
  <c r="AB6" i="5"/>
  <c r="AA19" i="5"/>
  <c r="AB11" i="5"/>
  <c r="AA10" i="5"/>
  <c r="AA18" i="5"/>
  <c r="Z7" i="5"/>
  <c r="AD7" i="5" s="1"/>
  <c r="AA20" i="5"/>
  <c r="AA7" i="5"/>
  <c r="AC11" i="8"/>
  <c r="AB7" i="8"/>
  <c r="AC5" i="8"/>
  <c r="AC19" i="8"/>
  <c r="AA15" i="8"/>
  <c r="AA16" i="8"/>
  <c r="Z8" i="8"/>
  <c r="AD8" i="8" s="1"/>
  <c r="Z9" i="8"/>
  <c r="AD9" i="8" s="1"/>
  <c r="AA17" i="8"/>
  <c r="AC14" i="8"/>
  <c r="AA6" i="8"/>
  <c r="AA18" i="8"/>
  <c r="Z6" i="8"/>
  <c r="AD6" i="8" s="1"/>
  <c r="AA12" i="11"/>
  <c r="AA8" i="11"/>
  <c r="Z4" i="11"/>
  <c r="AD4" i="11" s="1"/>
  <c r="AC22" i="11"/>
  <c r="AC8" i="11"/>
  <c r="AB10" i="11"/>
  <c r="Z18" i="11"/>
  <c r="AD18" i="11" s="1"/>
  <c r="AB26" i="11"/>
  <c r="AA16" i="11"/>
  <c r="AA24" i="11"/>
  <c r="AC15" i="11"/>
  <c r="AC23" i="11"/>
  <c r="AB6" i="14"/>
  <c r="AC14" i="14"/>
  <c r="Z6" i="14"/>
  <c r="AD6" i="14" s="1"/>
  <c r="AG6" i="14" s="1"/>
  <c r="Z13" i="14"/>
  <c r="AD13" i="14" s="1"/>
  <c r="AG13" i="14" s="1"/>
  <c r="Z14" i="14"/>
  <c r="AD14" i="14" s="1"/>
  <c r="AF14" i="14" s="1"/>
  <c r="X14" i="14" s="1"/>
  <c r="Z22" i="14"/>
  <c r="AD22" i="14" s="1"/>
  <c r="AC12" i="14"/>
  <c r="AA20" i="14"/>
  <c r="AC11" i="14"/>
  <c r="AA19" i="14"/>
  <c r="AC27" i="14"/>
  <c r="Z24" i="17"/>
  <c r="AD24" i="17" s="1"/>
  <c r="AG24" i="17" s="1"/>
  <c r="AA23" i="17"/>
  <c r="AA9" i="17"/>
  <c r="Z23" i="17"/>
  <c r="AD23" i="17" s="1"/>
  <c r="AC7" i="17"/>
  <c r="AC16" i="17"/>
  <c r="Z5" i="17"/>
  <c r="AD5" i="17" s="1"/>
  <c r="AG5" i="17" s="1"/>
  <c r="AA15" i="17"/>
  <c r="Z17" i="17"/>
  <c r="AD17" i="17" s="1"/>
  <c r="AG17" i="17" s="1"/>
  <c r="AB25" i="17"/>
  <c r="AC15" i="17"/>
  <c r="AC23" i="17"/>
  <c r="AA7" i="20"/>
  <c r="Z13" i="20"/>
  <c r="AD13" i="20" s="1"/>
  <c r="AG13" i="20" s="1"/>
  <c r="AA23" i="20"/>
  <c r="AA8" i="20"/>
  <c r="Z19" i="20"/>
  <c r="AD19" i="20" s="1"/>
  <c r="AG19" i="20" s="1"/>
  <c r="AC10" i="20"/>
  <c r="AB8" i="20"/>
  <c r="Z27" i="20"/>
  <c r="AD27" i="20" s="1"/>
  <c r="AG27" i="20" s="1"/>
  <c r="Z11" i="20"/>
  <c r="AD11" i="20" s="1"/>
  <c r="AG11" i="20" s="1"/>
  <c r="AC19" i="20"/>
  <c r="AC11" i="20"/>
  <c r="AA19" i="20"/>
  <c r="AC27" i="20"/>
  <c r="AC26" i="23"/>
  <c r="AA20" i="23"/>
  <c r="AC12" i="23"/>
  <c r="AA8" i="23"/>
  <c r="AC17" i="23"/>
  <c r="Z6" i="23"/>
  <c r="AD6" i="23" s="1"/>
  <c r="AA18" i="23"/>
  <c r="AA6" i="23"/>
  <c r="Z15" i="23"/>
  <c r="AD15" i="23" s="1"/>
  <c r="AF15" i="23" s="1"/>
  <c r="X15" i="23" s="1"/>
  <c r="Z25" i="23"/>
  <c r="AD25" i="23" s="1"/>
  <c r="AG25" i="23" s="1"/>
  <c r="AC15" i="23"/>
  <c r="AC23" i="23"/>
  <c r="AA3" i="5"/>
  <c r="AA12" i="8"/>
  <c r="AC26" i="8"/>
  <c r="Z26" i="8"/>
  <c r="AD26" i="8" s="1"/>
  <c r="AC12" i="8"/>
  <c r="AB4" i="8"/>
  <c r="AB17" i="8"/>
  <c r="AC13" i="8"/>
  <c r="AB9" i="8"/>
  <c r="AB12" i="8"/>
  <c r="AC18" i="8"/>
  <c r="AB19" i="11"/>
  <c r="AB9" i="11"/>
  <c r="AC5" i="11"/>
  <c r="AA26" i="11"/>
  <c r="Z9" i="11"/>
  <c r="AD9" i="11" s="1"/>
  <c r="AA11" i="11"/>
  <c r="AC19" i="11"/>
  <c r="AA27" i="11"/>
  <c r="Z17" i="11"/>
  <c r="AD17" i="11" s="1"/>
  <c r="AB25" i="11"/>
  <c r="AB16" i="11"/>
  <c r="AB24" i="11"/>
  <c r="AA7" i="14"/>
  <c r="AC4" i="14"/>
  <c r="Z15" i="14"/>
  <c r="AD15" i="14" s="1"/>
  <c r="AG15" i="14" s="1"/>
  <c r="AC7" i="14"/>
  <c r="AA4" i="14"/>
  <c r="AC16" i="14"/>
  <c r="AA15" i="14"/>
  <c r="AA23" i="14"/>
  <c r="AB13" i="14"/>
  <c r="Z21" i="14"/>
  <c r="AD21" i="14" s="1"/>
  <c r="AG21" i="14" s="1"/>
  <c r="Z12" i="14"/>
  <c r="AD12" i="14" s="1"/>
  <c r="AG12" i="14" s="1"/>
  <c r="AB20" i="14"/>
  <c r="Z18" i="17"/>
  <c r="AD18" i="17" s="1"/>
  <c r="Z3" i="17"/>
  <c r="AD3" i="17" s="1"/>
  <c r="AC4" i="17"/>
  <c r="AB5" i="17"/>
  <c r="Z27" i="17"/>
  <c r="AD27" i="17" s="1"/>
  <c r="AG27" i="17" s="1"/>
  <c r="AB8" i="17"/>
  <c r="AC18" i="17"/>
  <c r="AA6" i="17"/>
  <c r="AC21" i="17"/>
  <c r="AA18" i="17"/>
  <c r="AC26" i="17"/>
  <c r="AB16" i="17"/>
  <c r="AB24" i="17"/>
  <c r="AB5" i="20"/>
  <c r="AA15" i="20"/>
  <c r="AC26" i="20"/>
  <c r="AB10" i="20"/>
  <c r="AC20" i="20"/>
  <c r="AA12" i="20"/>
  <c r="AC9" i="20"/>
  <c r="AB3" i="20"/>
  <c r="AB12" i="20"/>
  <c r="Z20" i="20"/>
  <c r="AD20" i="20" s="1"/>
  <c r="AF20" i="20" s="1"/>
  <c r="X20" i="20" s="1"/>
  <c r="Z12" i="20"/>
  <c r="AD12" i="20" s="1"/>
  <c r="AG12" i="20" s="1"/>
  <c r="AB20" i="20"/>
  <c r="Z21" i="23"/>
  <c r="AD21" i="23" s="1"/>
  <c r="AB9" i="23"/>
  <c r="Z18" i="23"/>
  <c r="AD18" i="23" s="1"/>
  <c r="AC7" i="23"/>
  <c r="AB19" i="23"/>
  <c r="Z7" i="23"/>
  <c r="AD7" i="23" s="1"/>
  <c r="AG7" i="23" s="1"/>
  <c r="Z16" i="23"/>
  <c r="AD16" i="23" s="1"/>
  <c r="AG16" i="23" s="1"/>
  <c r="AB26" i="23"/>
  <c r="AB16" i="23"/>
  <c r="AB24" i="23"/>
  <c r="AA6" i="5"/>
  <c r="Z6" i="5"/>
  <c r="AD6" i="5" s="1"/>
  <c r="AC4" i="11"/>
  <c r="AC14" i="11"/>
  <c r="Z14" i="17"/>
  <c r="AD14" i="17" s="1"/>
  <c r="AF14" i="17" s="1"/>
  <c r="X14" i="17" s="1"/>
  <c r="Z9" i="17"/>
  <c r="AD9" i="17" s="1"/>
  <c r="AF9" i="17" s="1"/>
  <c r="X9" i="17" s="1"/>
  <c r="AA19" i="17"/>
  <c r="AC22" i="20"/>
  <c r="AA18" i="20"/>
  <c r="AA7" i="23"/>
  <c r="AB21" i="23"/>
  <c r="AC19" i="23"/>
  <c r="AA4" i="5"/>
  <c r="AC23" i="8"/>
  <c r="AA9" i="8"/>
  <c r="Z20" i="8"/>
  <c r="AD20" i="8" s="1"/>
  <c r="AB21" i="11"/>
  <c r="Z15" i="11"/>
  <c r="AD15" i="11" s="1"/>
  <c r="Z21" i="11"/>
  <c r="AD21" i="11" s="1"/>
  <c r="AA11" i="14"/>
  <c r="Z16" i="17"/>
  <c r="AD16" i="17" s="1"/>
  <c r="AF16" i="17" s="1"/>
  <c r="X16" i="17" s="1"/>
  <c r="Z25" i="17"/>
  <c r="AD25" i="17" s="1"/>
  <c r="Z12" i="17"/>
  <c r="AD12" i="17" s="1"/>
  <c r="AG12" i="17" s="1"/>
  <c r="AA20" i="20"/>
  <c r="AA3" i="20"/>
  <c r="AB26" i="20"/>
  <c r="AA15" i="23"/>
  <c r="AA23" i="23"/>
  <c r="AA24" i="23"/>
  <c r="Z5" i="5"/>
  <c r="AD5" i="5" s="1"/>
  <c r="Z9" i="5"/>
  <c r="AD9" i="5" s="1"/>
  <c r="AB12" i="5"/>
  <c r="AA12" i="5"/>
  <c r="Z24" i="8"/>
  <c r="AD24" i="8" s="1"/>
  <c r="AA24" i="8"/>
  <c r="AC25" i="8"/>
  <c r="AC27" i="8"/>
  <c r="Z25" i="11"/>
  <c r="AD25" i="11" s="1"/>
  <c r="AC18" i="11"/>
  <c r="AA14" i="11"/>
  <c r="AB9" i="14"/>
  <c r="Z9" i="14"/>
  <c r="AD9" i="14" s="1"/>
  <c r="AF9" i="14" s="1"/>
  <c r="X9" i="14" s="1"/>
  <c r="Z20" i="14"/>
  <c r="AD20" i="14" s="1"/>
  <c r="AC26" i="14"/>
  <c r="AA10" i="17"/>
  <c r="AC5" i="17"/>
  <c r="AB15" i="17"/>
  <c r="AC21" i="20"/>
  <c r="AC15" i="5"/>
  <c r="Z13" i="5"/>
  <c r="AD13" i="5" s="1"/>
  <c r="AC19" i="5"/>
  <c r="AC16" i="5"/>
  <c r="AA14" i="5"/>
  <c r="Z8" i="5"/>
  <c r="AD8" i="5" s="1"/>
  <c r="AB16" i="5"/>
  <c r="AB7" i="5"/>
  <c r="AC11" i="5"/>
  <c r="AB18" i="5"/>
  <c r="AC21" i="5"/>
  <c r="AC18" i="5"/>
  <c r="AA11" i="5"/>
  <c r="AC10" i="5"/>
  <c r="AB21" i="5"/>
  <c r="Z14" i="5"/>
  <c r="AD14" i="5" s="1"/>
  <c r="AB8" i="5"/>
  <c r="Z21" i="8"/>
  <c r="AD21" i="8" s="1"/>
  <c r="Z5" i="8"/>
  <c r="AD5" i="8" s="1"/>
  <c r="AA14" i="8"/>
  <c r="AB22" i="8"/>
  <c r="AB21" i="8"/>
  <c r="AA11" i="8"/>
  <c r="AB20" i="8"/>
  <c r="AB27" i="8"/>
  <c r="AB5" i="8"/>
  <c r="AA4" i="8"/>
  <c r="Z18" i="8"/>
  <c r="AD18" i="8" s="1"/>
  <c r="AB4" i="11"/>
  <c r="AC24" i="11"/>
  <c r="Z13" i="11"/>
  <c r="AD13" i="11" s="1"/>
  <c r="Z6" i="11"/>
  <c r="AD6" i="11" s="1"/>
  <c r="Z27" i="11"/>
  <c r="AD27" i="11" s="1"/>
  <c r="AG27" i="11" s="1"/>
  <c r="AA10" i="11"/>
  <c r="AB12" i="11"/>
  <c r="Z20" i="11"/>
  <c r="AD20" i="11" s="1"/>
  <c r="AC10" i="11"/>
  <c r="AA18" i="11"/>
  <c r="AC26" i="11"/>
  <c r="AA17" i="11"/>
  <c r="Z8" i="14"/>
  <c r="AD8" i="14" s="1"/>
  <c r="AF8" i="14" s="1"/>
  <c r="X8" i="14" s="1"/>
  <c r="AB5" i="14"/>
  <c r="AC18" i="14"/>
  <c r="AB8" i="14"/>
  <c r="Z5" i="14"/>
  <c r="AD5" i="14" s="1"/>
  <c r="AC20" i="14"/>
  <c r="Z16" i="14"/>
  <c r="AD16" i="14" s="1"/>
  <c r="AF16" i="14" s="1"/>
  <c r="X16" i="14" s="1"/>
  <c r="Z24" i="14"/>
  <c r="AD24" i="14" s="1"/>
  <c r="AG24" i="14" s="1"/>
  <c r="AA14" i="14"/>
  <c r="AA22" i="14"/>
  <c r="AC13" i="14"/>
  <c r="AC6" i="17"/>
  <c r="AA5" i="17"/>
  <c r="AA8" i="17"/>
  <c r="AB7" i="17"/>
  <c r="AB26" i="17"/>
  <c r="AC9" i="17"/>
  <c r="AC20" i="17"/>
  <c r="Z7" i="17"/>
  <c r="AD7" i="17" s="1"/>
  <c r="Z22" i="17"/>
  <c r="AD22" i="17" s="1"/>
  <c r="Z19" i="17"/>
  <c r="AD19" i="17" s="1"/>
  <c r="AG19" i="17" s="1"/>
  <c r="AB27" i="17"/>
  <c r="AA17" i="17"/>
  <c r="AB7" i="20"/>
  <c r="AA16" i="20"/>
  <c r="AB9" i="20"/>
  <c r="AB11" i="20"/>
  <c r="Z23" i="20"/>
  <c r="AD23" i="20" s="1"/>
  <c r="AG23" i="20" s="1"/>
  <c r="AB23" i="20"/>
  <c r="AA13" i="20"/>
  <c r="AA4" i="20"/>
  <c r="AB13" i="20"/>
  <c r="AA22" i="20"/>
  <c r="AC13" i="20"/>
  <c r="AB4" i="23"/>
  <c r="AC4" i="23"/>
  <c r="AC22" i="23"/>
  <c r="AA4" i="23"/>
  <c r="AB10" i="23"/>
  <c r="Z19" i="23"/>
  <c r="AD19" i="23" s="1"/>
  <c r="AG19" i="23" s="1"/>
  <c r="AB8" i="23"/>
  <c r="AC21" i="23"/>
  <c r="AC8" i="23"/>
  <c r="Z17" i="23"/>
  <c r="AD17" i="23" s="1"/>
  <c r="AF17" i="23" s="1"/>
  <c r="X17" i="23" s="1"/>
  <c r="AA17" i="23"/>
  <c r="AB5" i="5"/>
  <c r="AB3" i="8"/>
  <c r="AC3" i="8"/>
  <c r="AA3" i="8"/>
  <c r="Z3" i="8"/>
  <c r="AD3" i="8" s="1"/>
  <c r="P24" i="2"/>
  <c r="P22" i="2"/>
  <c r="P10" i="2"/>
  <c r="P8" i="2"/>
  <c r="P23" i="2"/>
  <c r="P12" i="2"/>
  <c r="P27" i="2"/>
  <c r="P5" i="2"/>
  <c r="P18" i="2"/>
  <c r="P14" i="2"/>
  <c r="P9" i="2"/>
  <c r="P19" i="2"/>
  <c r="P25" i="2"/>
  <c r="P13" i="2"/>
  <c r="P7" i="2"/>
  <c r="P26" i="2"/>
  <c r="P11" i="2"/>
  <c r="P16" i="2"/>
  <c r="P20" i="2"/>
  <c r="P17" i="2"/>
  <c r="P21" i="2"/>
  <c r="P3" i="2"/>
  <c r="P4" i="2"/>
  <c r="P15" i="2"/>
  <c r="P6" i="2"/>
  <c r="AF15" i="17" l="1"/>
  <c r="X15" i="17" s="1"/>
  <c r="AE4" i="11"/>
  <c r="AF4" i="11" s="1"/>
  <c r="X4" i="11" s="1"/>
  <c r="AG25" i="11"/>
  <c r="AG23" i="8"/>
  <c r="AF9" i="23"/>
  <c r="X9" i="23" s="1"/>
  <c r="AG21" i="11"/>
  <c r="AG22" i="8"/>
  <c r="AG19" i="11"/>
  <c r="AG17" i="11"/>
  <c r="AG21" i="8"/>
  <c r="AG20" i="8"/>
  <c r="AG18" i="11"/>
  <c r="AF11" i="14"/>
  <c r="X11" i="14" s="1"/>
  <c r="AF23" i="23"/>
  <c r="X23" i="23" s="1"/>
  <c r="AG13" i="11"/>
  <c r="AF7" i="14"/>
  <c r="X7" i="14" s="1"/>
  <c r="AG18" i="8"/>
  <c r="AG11" i="11"/>
  <c r="AG7" i="8"/>
  <c r="AG13" i="8"/>
  <c r="AG15" i="8"/>
  <c r="AG14" i="8"/>
  <c r="AG12" i="8"/>
  <c r="AG11" i="8"/>
  <c r="AG10" i="8"/>
  <c r="AG6" i="8"/>
  <c r="AG5" i="11"/>
  <c r="AG3" i="11"/>
  <c r="AG5" i="8"/>
  <c r="AG4" i="8"/>
  <c r="AE3" i="14"/>
  <c r="AG8" i="14"/>
  <c r="AG9" i="11"/>
  <c r="AG10" i="20"/>
  <c r="AG17" i="8"/>
  <c r="AG18" i="14"/>
  <c r="AF27" i="20"/>
  <c r="X27" i="20" s="1"/>
  <c r="AG8" i="5"/>
  <c r="AG3" i="20"/>
  <c r="AE5" i="23"/>
  <c r="AE4" i="17"/>
  <c r="AF7" i="23"/>
  <c r="X7" i="23" s="1"/>
  <c r="AG16" i="8"/>
  <c r="AF27" i="17"/>
  <c r="X27" i="17" s="1"/>
  <c r="AG10" i="23"/>
  <c r="AG4" i="14"/>
  <c r="AG14" i="20"/>
  <c r="AG7" i="20"/>
  <c r="AF5" i="17"/>
  <c r="X5" i="17" s="1"/>
  <c r="AF23" i="14"/>
  <c r="X23" i="14" s="1"/>
  <c r="AG8" i="8"/>
  <c r="AF25" i="23"/>
  <c r="X25" i="23" s="1"/>
  <c r="AF21" i="23"/>
  <c r="X21" i="23" s="1"/>
  <c r="AG21" i="23"/>
  <c r="AG3" i="23"/>
  <c r="AF18" i="17"/>
  <c r="X18" i="17" s="1"/>
  <c r="AG18" i="17"/>
  <c r="AF22" i="23"/>
  <c r="X22" i="23" s="1"/>
  <c r="AG22" i="23"/>
  <c r="AF21" i="17"/>
  <c r="X21" i="17" s="1"/>
  <c r="AG21" i="17"/>
  <c r="AG16" i="17"/>
  <c r="AF5" i="23"/>
  <c r="X5" i="23" s="1"/>
  <c r="AE3" i="23"/>
  <c r="AF22" i="17"/>
  <c r="X22" i="17" s="1"/>
  <c r="AG22" i="17"/>
  <c r="AG20" i="11"/>
  <c r="AG16" i="5"/>
  <c r="AG19" i="5"/>
  <c r="AF25" i="5"/>
  <c r="X25" i="5" s="1"/>
  <c r="AG25" i="5"/>
  <c r="AF25" i="17"/>
  <c r="X25" i="17" s="1"/>
  <c r="AG25" i="17"/>
  <c r="AG3" i="17"/>
  <c r="AG16" i="20"/>
  <c r="AE6" i="23"/>
  <c r="AF20" i="14"/>
  <c r="X20" i="14" s="1"/>
  <c r="AG20" i="14"/>
  <c r="AG9" i="5"/>
  <c r="AF26" i="14"/>
  <c r="X26" i="14" s="1"/>
  <c r="AG26" i="14"/>
  <c r="AF27" i="14"/>
  <c r="X27" i="14" s="1"/>
  <c r="AG27" i="14"/>
  <c r="AG21" i="5"/>
  <c r="AF24" i="23"/>
  <c r="X24" i="23" s="1"/>
  <c r="AG24" i="23"/>
  <c r="AG27" i="5"/>
  <c r="AF27" i="5"/>
  <c r="X27" i="5" s="1"/>
  <c r="AG26" i="8"/>
  <c r="AE5" i="17"/>
  <c r="AG24" i="8"/>
  <c r="AG24" i="11"/>
  <c r="AG22" i="11"/>
  <c r="AF20" i="23"/>
  <c r="X20" i="23" s="1"/>
  <c r="AG20" i="23"/>
  <c r="AG22" i="5"/>
  <c r="AG26" i="5"/>
  <c r="AF26" i="5"/>
  <c r="X26" i="5" s="1"/>
  <c r="AG5" i="5"/>
  <c r="AF23" i="5"/>
  <c r="X23" i="5" s="1"/>
  <c r="AG23" i="5"/>
  <c r="AE4" i="20"/>
  <c r="AF10" i="17"/>
  <c r="X10" i="17" s="1"/>
  <c r="AF16" i="23"/>
  <c r="X16" i="23" s="1"/>
  <c r="AF18" i="23"/>
  <c r="X18" i="23" s="1"/>
  <c r="AG18" i="23"/>
  <c r="AF23" i="17"/>
  <c r="X23" i="17" s="1"/>
  <c r="AG23" i="17"/>
  <c r="AE22" i="5"/>
  <c r="AF22" i="5" s="1"/>
  <c r="X22" i="5" s="1"/>
  <c r="AE25" i="5"/>
  <c r="AE24" i="5"/>
  <c r="AE27" i="5"/>
  <c r="AE26" i="5"/>
  <c r="AE23" i="5"/>
  <c r="AF26" i="17"/>
  <c r="X26" i="17" s="1"/>
  <c r="AG26" i="17"/>
  <c r="AG25" i="8"/>
  <c r="AF24" i="20"/>
  <c r="X24" i="20" s="1"/>
  <c r="AG24" i="20"/>
  <c r="AG24" i="5"/>
  <c r="AF24" i="5"/>
  <c r="X24" i="5" s="1"/>
  <c r="AG12" i="11"/>
  <c r="AF22" i="14"/>
  <c r="X22" i="14" s="1"/>
  <c r="AG22" i="14"/>
  <c r="AG23" i="11"/>
  <c r="AF27" i="8"/>
  <c r="X27" i="8" s="1"/>
  <c r="AG27" i="8"/>
  <c r="AG26" i="11"/>
  <c r="AA26" i="2"/>
  <c r="AA24" i="2"/>
  <c r="AA27" i="2"/>
  <c r="AA23" i="2"/>
  <c r="Z26" i="2"/>
  <c r="AD26" i="2" s="1"/>
  <c r="AG26" i="2" s="1"/>
  <c r="Z24" i="2"/>
  <c r="AD24" i="2" s="1"/>
  <c r="AG24" i="2" s="1"/>
  <c r="Z27" i="2"/>
  <c r="AD27" i="2" s="1"/>
  <c r="AG27" i="2" s="1"/>
  <c r="AC24" i="2"/>
  <c r="AB24" i="2"/>
  <c r="AC27" i="2"/>
  <c r="AC25" i="2"/>
  <c r="AC23" i="2"/>
  <c r="AA25" i="2"/>
  <c r="Z23" i="2"/>
  <c r="AD23" i="2" s="1"/>
  <c r="AG23" i="2" s="1"/>
  <c r="AB27" i="2"/>
  <c r="AB25" i="2"/>
  <c r="AB23" i="2"/>
  <c r="Z25" i="2"/>
  <c r="AD25" i="2" s="1"/>
  <c r="AG25" i="2" s="1"/>
  <c r="AC26" i="2"/>
  <c r="AB26" i="2"/>
  <c r="AC22" i="2"/>
  <c r="AB22" i="2"/>
  <c r="AE8" i="11"/>
  <c r="AF8" i="11" s="1"/>
  <c r="X8" i="11" s="1"/>
  <c r="AG19" i="8"/>
  <c r="AG7" i="11"/>
  <c r="AF24" i="14"/>
  <c r="X24" i="14" s="1"/>
  <c r="AE5" i="5"/>
  <c r="AF5" i="5" s="1"/>
  <c r="X5" i="5" s="1"/>
  <c r="AG15" i="5"/>
  <c r="AG6" i="5"/>
  <c r="AG12" i="5"/>
  <c r="AF18" i="20"/>
  <c r="X18" i="20" s="1"/>
  <c r="AE7" i="17"/>
  <c r="AG19" i="14"/>
  <c r="AE20" i="8"/>
  <c r="AF20" i="8" s="1"/>
  <c r="X20" i="8" s="1"/>
  <c r="AG18" i="5"/>
  <c r="AG20" i="5"/>
  <c r="AE22" i="23"/>
  <c r="AG11" i="5"/>
  <c r="AE6" i="11"/>
  <c r="AF6" i="11" s="1"/>
  <c r="X6" i="11" s="1"/>
  <c r="AE7" i="14"/>
  <c r="AG4" i="11"/>
  <c r="AG6" i="11"/>
  <c r="AE3" i="17"/>
  <c r="AF6" i="17"/>
  <c r="X6" i="17" s="1"/>
  <c r="AF9" i="20"/>
  <c r="X9" i="20" s="1"/>
  <c r="AE19" i="14"/>
  <c r="AG10" i="5"/>
  <c r="AF3" i="17"/>
  <c r="X3" i="17" s="1"/>
  <c r="AF4" i="17"/>
  <c r="X4" i="17" s="1"/>
  <c r="AF26" i="23"/>
  <c r="X26" i="23" s="1"/>
  <c r="AG7" i="5"/>
  <c r="AG14" i="5"/>
  <c r="AG13" i="5"/>
  <c r="AE5" i="11"/>
  <c r="AF5" i="11" s="1"/>
  <c r="X5" i="11" s="1"/>
  <c r="AF20" i="17"/>
  <c r="X20" i="17" s="1"/>
  <c r="AF22" i="20"/>
  <c r="X22" i="20" s="1"/>
  <c r="AG17" i="5"/>
  <c r="AG9" i="8"/>
  <c r="AE7" i="11"/>
  <c r="AF7" i="11" s="1"/>
  <c r="X7" i="11" s="1"/>
  <c r="AG16" i="14"/>
  <c r="AF11" i="20"/>
  <c r="X11" i="20" s="1"/>
  <c r="AF19" i="23"/>
  <c r="X19" i="23" s="1"/>
  <c r="AG6" i="20"/>
  <c r="AE25" i="23"/>
  <c r="AE14" i="5"/>
  <c r="AF14" i="5" s="1"/>
  <c r="X14" i="5" s="1"/>
  <c r="AF3" i="14"/>
  <c r="X3" i="14" s="1"/>
  <c r="AG17" i="14"/>
  <c r="AE19" i="8"/>
  <c r="AF19" i="8" s="1"/>
  <c r="X19" i="8" s="1"/>
  <c r="AE4" i="14"/>
  <c r="AE21" i="17"/>
  <c r="AE17" i="11"/>
  <c r="AF17" i="11" s="1"/>
  <c r="X17" i="11" s="1"/>
  <c r="AE9" i="11"/>
  <c r="AF9" i="11" s="1"/>
  <c r="X9" i="11" s="1"/>
  <c r="AE12" i="14"/>
  <c r="AF24" i="17"/>
  <c r="X24" i="17" s="1"/>
  <c r="AF3" i="23"/>
  <c r="X3" i="23" s="1"/>
  <c r="AE25" i="8"/>
  <c r="AF25" i="8" s="1"/>
  <c r="X25" i="8" s="1"/>
  <c r="AF27" i="11"/>
  <c r="X27" i="11" s="1"/>
  <c r="AF25" i="14"/>
  <c r="X25" i="14" s="1"/>
  <c r="AE14" i="14"/>
  <c r="AF11" i="17"/>
  <c r="X11" i="17" s="1"/>
  <c r="AE16" i="17"/>
  <c r="AF19" i="17"/>
  <c r="X19" i="17" s="1"/>
  <c r="AG15" i="20"/>
  <c r="AE3" i="20"/>
  <c r="AF5" i="20"/>
  <c r="X5" i="20" s="1"/>
  <c r="AF17" i="20"/>
  <c r="X17" i="20" s="1"/>
  <c r="AF13" i="23"/>
  <c r="X13" i="23" s="1"/>
  <c r="AG14" i="23"/>
  <c r="AE4" i="23"/>
  <c r="AE20" i="20"/>
  <c r="AE27" i="11"/>
  <c r="AE24" i="20"/>
  <c r="AE14" i="11"/>
  <c r="AF14" i="11" s="1"/>
  <c r="X14" i="11" s="1"/>
  <c r="AF15" i="14"/>
  <c r="X15" i="14" s="1"/>
  <c r="AE20" i="23"/>
  <c r="AG14" i="11"/>
  <c r="AE19" i="11"/>
  <c r="AF19" i="11" s="1"/>
  <c r="X19" i="11" s="1"/>
  <c r="AF6" i="14"/>
  <c r="X6" i="14" s="1"/>
  <c r="AE6" i="17"/>
  <c r="AE5" i="20"/>
  <c r="AF21" i="20"/>
  <c r="X21" i="20" s="1"/>
  <c r="AG6" i="23"/>
  <c r="AG8" i="11"/>
  <c r="AE21" i="14"/>
  <c r="AE25" i="17"/>
  <c r="AF12" i="17"/>
  <c r="X12" i="17" s="1"/>
  <c r="AF13" i="20"/>
  <c r="X13" i="20" s="1"/>
  <c r="AE27" i="20"/>
  <c r="AF4" i="20"/>
  <c r="X4" i="20" s="1"/>
  <c r="AF4" i="23"/>
  <c r="X4" i="23" s="1"/>
  <c r="AE8" i="23"/>
  <c r="AG9" i="17"/>
  <c r="AE17" i="5"/>
  <c r="AF17" i="5" s="1"/>
  <c r="X17" i="5" s="1"/>
  <c r="AE15" i="5"/>
  <c r="AF15" i="5" s="1"/>
  <c r="X15" i="5" s="1"/>
  <c r="AE27" i="23"/>
  <c r="AE21" i="8"/>
  <c r="AF21" i="8" s="1"/>
  <c r="X21" i="8" s="1"/>
  <c r="AE18" i="14"/>
  <c r="AE20" i="17"/>
  <c r="AE12" i="23"/>
  <c r="AE8" i="8"/>
  <c r="AF8" i="8" s="1"/>
  <c r="X8" i="8" s="1"/>
  <c r="AE18" i="11"/>
  <c r="AF18" i="11" s="1"/>
  <c r="X18" i="11" s="1"/>
  <c r="AG10" i="11"/>
  <c r="AE10" i="14"/>
  <c r="AF12" i="14"/>
  <c r="X12" i="14" s="1"/>
  <c r="AE10" i="17"/>
  <c r="AE13" i="20"/>
  <c r="AE19" i="20"/>
  <c r="AF23" i="20"/>
  <c r="X23" i="20" s="1"/>
  <c r="AG17" i="23"/>
  <c r="AE9" i="23"/>
  <c r="AE4" i="8"/>
  <c r="AF4" i="8" s="1"/>
  <c r="X4" i="8" s="1"/>
  <c r="AG3" i="8"/>
  <c r="AE3" i="8"/>
  <c r="AF3" i="8" s="1"/>
  <c r="X3" i="8" s="1"/>
  <c r="AE24" i="8"/>
  <c r="AF24" i="8" s="1"/>
  <c r="X24" i="8" s="1"/>
  <c r="AE11" i="5"/>
  <c r="AF11" i="5" s="1"/>
  <c r="X11" i="5" s="1"/>
  <c r="AE9" i="5"/>
  <c r="AF9" i="5" s="1"/>
  <c r="X9" i="5" s="1"/>
  <c r="AE20" i="5"/>
  <c r="AF20" i="5" s="1"/>
  <c r="X20" i="5" s="1"/>
  <c r="AE14" i="8"/>
  <c r="AF14" i="8" s="1"/>
  <c r="X14" i="8" s="1"/>
  <c r="AE7" i="8"/>
  <c r="AF7" i="8" s="1"/>
  <c r="X7" i="8" s="1"/>
  <c r="AE23" i="8"/>
  <c r="AF23" i="8" s="1"/>
  <c r="X23" i="8" s="1"/>
  <c r="AE11" i="8"/>
  <c r="AF11" i="8" s="1"/>
  <c r="X11" i="8" s="1"/>
  <c r="AE10" i="11"/>
  <c r="AF10" i="11" s="1"/>
  <c r="X10" i="11" s="1"/>
  <c r="AE13" i="11"/>
  <c r="AF13" i="11" s="1"/>
  <c r="X13" i="11" s="1"/>
  <c r="AE20" i="11"/>
  <c r="AF20" i="11" s="1"/>
  <c r="X20" i="11" s="1"/>
  <c r="AG14" i="14"/>
  <c r="AE15" i="14"/>
  <c r="AE22" i="14"/>
  <c r="AG9" i="14"/>
  <c r="AG13" i="17"/>
  <c r="AE8" i="17"/>
  <c r="AE11" i="17"/>
  <c r="AE24" i="17"/>
  <c r="AF7" i="17"/>
  <c r="X7" i="17" s="1"/>
  <c r="AF8" i="17"/>
  <c r="X8" i="17" s="1"/>
  <c r="AE18" i="20"/>
  <c r="AE9" i="20"/>
  <c r="AE10" i="20"/>
  <c r="AE21" i="20"/>
  <c r="AG15" i="23"/>
  <c r="AG8" i="23"/>
  <c r="AG12" i="23"/>
  <c r="AE23" i="23"/>
  <c r="AE14" i="23"/>
  <c r="AE11" i="23"/>
  <c r="AE6" i="5"/>
  <c r="AF6" i="5" s="1"/>
  <c r="X6" i="5" s="1"/>
  <c r="AE3" i="5"/>
  <c r="AF3" i="5" s="1"/>
  <c r="X3" i="5" s="1"/>
  <c r="AG3" i="5"/>
  <c r="AE26" i="14"/>
  <c r="AE18" i="17"/>
  <c r="AE16" i="11"/>
  <c r="AF16" i="11" s="1"/>
  <c r="X16" i="11" s="1"/>
  <c r="AE8" i="14"/>
  <c r="AE19" i="23"/>
  <c r="AE7" i="5"/>
  <c r="AF7" i="5" s="1"/>
  <c r="X7" i="5" s="1"/>
  <c r="AE22" i="8"/>
  <c r="AF22" i="8" s="1"/>
  <c r="X22" i="8" s="1"/>
  <c r="AE18" i="8"/>
  <c r="AF18" i="8" s="1"/>
  <c r="X18" i="8" s="1"/>
  <c r="AG15" i="11"/>
  <c r="AE20" i="14"/>
  <c r="AE5" i="8"/>
  <c r="AF5" i="8" s="1"/>
  <c r="X5" i="8" s="1"/>
  <c r="AE15" i="11"/>
  <c r="AF15" i="11" s="1"/>
  <c r="X15" i="11" s="1"/>
  <c r="AE24" i="14"/>
  <c r="AF10" i="14"/>
  <c r="X10" i="14" s="1"/>
  <c r="AF21" i="14"/>
  <c r="X21" i="14" s="1"/>
  <c r="AF17" i="17"/>
  <c r="X17" i="17" s="1"/>
  <c r="AG14" i="17"/>
  <c r="AE9" i="17"/>
  <c r="AE13" i="17"/>
  <c r="AE23" i="17"/>
  <c r="AE17" i="17"/>
  <c r="AG7" i="17"/>
  <c r="AE8" i="20"/>
  <c r="AE26" i="20"/>
  <c r="AE11" i="20"/>
  <c r="AF26" i="20"/>
  <c r="X26" i="20" s="1"/>
  <c r="AF8" i="20"/>
  <c r="X8" i="20" s="1"/>
  <c r="AF12" i="20"/>
  <c r="X12" i="20" s="1"/>
  <c r="AF11" i="23"/>
  <c r="X11" i="23" s="1"/>
  <c r="AF27" i="23"/>
  <c r="X27" i="23" s="1"/>
  <c r="AE18" i="23"/>
  <c r="AE15" i="23"/>
  <c r="AG4" i="5"/>
  <c r="AE16" i="14"/>
  <c r="AE17" i="23"/>
  <c r="AE18" i="5"/>
  <c r="AF18" i="5" s="1"/>
  <c r="X18" i="5" s="1"/>
  <c r="AE10" i="5"/>
  <c r="AF10" i="5" s="1"/>
  <c r="X10" i="5" s="1"/>
  <c r="AE27" i="8"/>
  <c r="AE19" i="5"/>
  <c r="AF19" i="5" s="1"/>
  <c r="X19" i="5" s="1"/>
  <c r="AF32" i="6" s="1"/>
  <c r="AE17" i="8"/>
  <c r="AF17" i="8" s="1"/>
  <c r="X17" i="8" s="1"/>
  <c r="AE11" i="11"/>
  <c r="AF11" i="11" s="1"/>
  <c r="X11" i="11" s="1"/>
  <c r="AE22" i="17"/>
  <c r="AE7" i="20"/>
  <c r="AE13" i="23"/>
  <c r="AE21" i="23"/>
  <c r="AE12" i="8"/>
  <c r="AF12" i="8" s="1"/>
  <c r="X12" i="8" s="1"/>
  <c r="AE13" i="8"/>
  <c r="AF13" i="8" s="1"/>
  <c r="X13" i="8" s="1"/>
  <c r="AE12" i="11"/>
  <c r="AF12" i="11" s="1"/>
  <c r="X12" i="11" s="1"/>
  <c r="AE22" i="11"/>
  <c r="AF22" i="11" s="1"/>
  <c r="X22" i="11" s="1"/>
  <c r="AE23" i="14"/>
  <c r="AF5" i="14"/>
  <c r="X5" i="14" s="1"/>
  <c r="AE13" i="5"/>
  <c r="AF13" i="5" s="1"/>
  <c r="X13" i="5" s="1"/>
  <c r="AE10" i="8"/>
  <c r="AF10" i="8" s="1"/>
  <c r="X10" i="8" s="1"/>
  <c r="AE6" i="8"/>
  <c r="AF6" i="8" s="1"/>
  <c r="X6" i="8" s="1"/>
  <c r="AE23" i="11"/>
  <c r="AF23" i="11" s="1"/>
  <c r="X23" i="11" s="1"/>
  <c r="AE24" i="11"/>
  <c r="AF24" i="11" s="1"/>
  <c r="X24" i="11" s="1"/>
  <c r="AG16" i="11"/>
  <c r="AF13" i="14"/>
  <c r="X13" i="14" s="1"/>
  <c r="AE25" i="14"/>
  <c r="AE17" i="14"/>
  <c r="AG5" i="14"/>
  <c r="AE15" i="17"/>
  <c r="AE27" i="17"/>
  <c r="AE19" i="17"/>
  <c r="AF25" i="20"/>
  <c r="X25" i="20" s="1"/>
  <c r="AF19" i="20"/>
  <c r="X19" i="20" s="1"/>
  <c r="AG20" i="20"/>
  <c r="AE14" i="20"/>
  <c r="AE22" i="20"/>
  <c r="AE15" i="20"/>
  <c r="AE7" i="23"/>
  <c r="AE24" i="23"/>
  <c r="AE16" i="23"/>
  <c r="AE16" i="5"/>
  <c r="AF16" i="5" s="1"/>
  <c r="X16" i="5" s="1"/>
  <c r="AE21" i="11"/>
  <c r="AF21" i="11" s="1"/>
  <c r="X21" i="11" s="1"/>
  <c r="AE9" i="14"/>
  <c r="AE25" i="20"/>
  <c r="AE26" i="8"/>
  <c r="AF26" i="8" s="1"/>
  <c r="X26" i="8" s="1"/>
  <c r="AE26" i="11"/>
  <c r="AF26" i="11" s="1"/>
  <c r="X26" i="11" s="1"/>
  <c r="AE11" i="14"/>
  <c r="AE12" i="20"/>
  <c r="AE17" i="20"/>
  <c r="AE4" i="5"/>
  <c r="AF4" i="5" s="1"/>
  <c r="X4" i="5" s="1"/>
  <c r="AE13" i="14"/>
  <c r="AE6" i="20"/>
  <c r="AE10" i="23"/>
  <c r="AE8" i="5"/>
  <c r="AF8" i="5" s="1"/>
  <c r="X8" i="5" s="1"/>
  <c r="AE12" i="5"/>
  <c r="AF12" i="5" s="1"/>
  <c r="X12" i="5" s="1"/>
  <c r="AE21" i="5"/>
  <c r="AF21" i="5" s="1"/>
  <c r="X21" i="5" s="1"/>
  <c r="AE9" i="8"/>
  <c r="AF9" i="8" s="1"/>
  <c r="X9" i="8" s="1"/>
  <c r="AE15" i="8"/>
  <c r="AF15" i="8" s="1"/>
  <c r="X15" i="8" s="1"/>
  <c r="AE25" i="11"/>
  <c r="AF25" i="11" s="1"/>
  <c r="X25" i="11" s="1"/>
  <c r="AE5" i="14"/>
  <c r="AE6" i="14"/>
  <c r="AE27" i="14"/>
  <c r="AE12" i="17"/>
  <c r="AE26" i="17"/>
  <c r="AE14" i="17"/>
  <c r="AE23" i="20"/>
  <c r="AE16" i="20"/>
  <c r="AF6" i="23"/>
  <c r="X6" i="23" s="1"/>
  <c r="AE26" i="23"/>
  <c r="AE16" i="8"/>
  <c r="AF16" i="8" s="1"/>
  <c r="X16" i="8" s="1"/>
  <c r="AA19" i="2"/>
  <c r="AC5" i="2"/>
  <c r="Z12" i="2"/>
  <c r="AD12" i="2" s="1"/>
  <c r="AC11" i="2"/>
  <c r="AA14" i="2"/>
  <c r="AC16" i="2"/>
  <c r="AA3" i="2"/>
  <c r="AA21" i="2"/>
  <c r="AB12" i="2"/>
  <c r="Z21" i="2"/>
  <c r="AD21" i="2" s="1"/>
  <c r="AB7" i="2"/>
  <c r="AA8" i="2"/>
  <c r="AA5" i="2"/>
  <c r="AB9" i="2"/>
  <c r="AB21" i="2"/>
  <c r="Z10" i="2"/>
  <c r="AD10" i="2" s="1"/>
  <c r="AC21" i="2"/>
  <c r="Z5" i="2"/>
  <c r="AD5" i="2" s="1"/>
  <c r="AB3" i="2"/>
  <c r="AC10" i="2"/>
  <c r="AB14" i="2"/>
  <c r="AB10" i="2"/>
  <c r="AC7" i="2"/>
  <c r="Z6" i="2"/>
  <c r="AD6" i="2" s="1"/>
  <c r="AC17" i="2"/>
  <c r="AB5" i="2"/>
  <c r="AA10" i="2"/>
  <c r="AB19" i="2"/>
  <c r="AC12" i="2"/>
  <c r="Z8" i="2"/>
  <c r="AD8" i="2" s="1"/>
  <c r="AC19" i="2"/>
  <c r="AC3" i="2"/>
  <c r="AA4" i="2"/>
  <c r="AC18" i="2"/>
  <c r="Z18" i="2"/>
  <c r="AD18" i="2" s="1"/>
  <c r="AA11" i="2"/>
  <c r="AB20" i="2"/>
  <c r="AB4" i="2"/>
  <c r="AC13" i="2"/>
  <c r="Z3" i="2"/>
  <c r="AD3" i="2" s="1"/>
  <c r="AC14" i="2"/>
  <c r="Z13" i="2"/>
  <c r="AD13" i="2" s="1"/>
  <c r="AA22" i="2"/>
  <c r="AA6" i="2"/>
  <c r="AB15" i="2"/>
  <c r="AC8" i="2"/>
  <c r="Z7" i="2"/>
  <c r="AD7" i="2" s="1"/>
  <c r="AB13" i="2"/>
  <c r="Z20" i="2"/>
  <c r="AD20" i="2" s="1"/>
  <c r="Z4" i="2"/>
  <c r="AD4" i="2" s="1"/>
  <c r="AA13" i="2"/>
  <c r="AB6" i="2"/>
  <c r="AC15" i="2"/>
  <c r="AA16" i="2"/>
  <c r="Z22" i="2"/>
  <c r="AD22" i="2" s="1"/>
  <c r="AA15" i="2"/>
  <c r="AB8" i="2"/>
  <c r="Z19" i="2"/>
  <c r="AD19" i="2" s="1"/>
  <c r="Z17" i="2"/>
  <c r="AD17" i="2" s="1"/>
  <c r="Z15" i="2"/>
  <c r="AD15" i="2" s="1"/>
  <c r="AA17" i="2"/>
  <c r="Z11" i="2"/>
  <c r="AD11" i="2" s="1"/>
  <c r="AB17" i="2"/>
  <c r="AC6" i="2"/>
  <c r="Z14" i="2"/>
  <c r="AD14" i="2" s="1"/>
  <c r="AA7" i="2"/>
  <c r="AB16" i="2"/>
  <c r="AC9" i="2"/>
  <c r="AA12" i="2"/>
  <c r="Z9" i="2"/>
  <c r="AD9" i="2" s="1"/>
  <c r="AA18" i="2"/>
  <c r="AB11" i="2"/>
  <c r="AC20" i="2"/>
  <c r="AC4" i="2"/>
  <c r="AA20" i="2"/>
  <c r="Z16" i="2"/>
  <c r="AD16" i="2" s="1"/>
  <c r="AA9" i="2"/>
  <c r="AB18" i="2"/>
  <c r="AE38" i="24" l="1"/>
  <c r="AF33" i="12"/>
  <c r="AG37" i="12"/>
  <c r="AK10" i="20"/>
  <c r="C6" i="21" s="1"/>
  <c r="AF33" i="18"/>
  <c r="AJ4" i="23"/>
  <c r="B18" i="24" s="1"/>
  <c r="AE35" i="12"/>
  <c r="AK3" i="11"/>
  <c r="C2" i="12" s="1"/>
  <c r="AE34" i="12"/>
  <c r="AF34" i="12"/>
  <c r="AK13" i="20"/>
  <c r="AO25" i="20" s="1"/>
  <c r="AE33" i="12"/>
  <c r="AF40" i="12"/>
  <c r="AF35" i="15"/>
  <c r="AK6" i="11"/>
  <c r="C10" i="12" s="1"/>
  <c r="AG38" i="12"/>
  <c r="AF39" i="18"/>
  <c r="AG39" i="12"/>
  <c r="AE39" i="12"/>
  <c r="AG33" i="24"/>
  <c r="AF36" i="12"/>
  <c r="AG40" i="24"/>
  <c r="AG33" i="6"/>
  <c r="AK8" i="8"/>
  <c r="AO24" i="8" s="1"/>
  <c r="AJ7" i="23"/>
  <c r="B14" i="24" s="1"/>
  <c r="AJ18" i="14"/>
  <c r="AN4" i="14" s="1"/>
  <c r="AG40" i="12"/>
  <c r="AE37" i="12"/>
  <c r="AK15" i="11"/>
  <c r="C12" i="12" s="1"/>
  <c r="AG36" i="18"/>
  <c r="AG34" i="9"/>
  <c r="AK15" i="17"/>
  <c r="AO10" i="17" s="1"/>
  <c r="AE27" i="2"/>
  <c r="AF27" i="2" s="1"/>
  <c r="X27" i="2" s="1"/>
  <c r="AE23" i="2"/>
  <c r="AF23" i="2" s="1"/>
  <c r="X23" i="2" s="1"/>
  <c r="AE26" i="2"/>
  <c r="AF26" i="2" s="1"/>
  <c r="X26" i="2" s="1"/>
  <c r="AE25" i="2"/>
  <c r="AF25" i="2" s="1"/>
  <c r="X25" i="2" s="1"/>
  <c r="AE24" i="2"/>
  <c r="AF24" i="2" s="1"/>
  <c r="X24" i="2" s="1"/>
  <c r="AG22" i="2"/>
  <c r="AE40" i="6"/>
  <c r="AG37" i="6"/>
  <c r="AE38" i="18"/>
  <c r="AJ16" i="11"/>
  <c r="AN22" i="11" s="1"/>
  <c r="AG37" i="18"/>
  <c r="AE33" i="9"/>
  <c r="AG32" i="6"/>
  <c r="AG36" i="12"/>
  <c r="AF35" i="12"/>
  <c r="AK13" i="23"/>
  <c r="AO25" i="23" s="1"/>
  <c r="AJ8" i="17"/>
  <c r="AN24" i="17" s="1"/>
  <c r="AF37" i="9"/>
  <c r="AF40" i="18"/>
  <c r="AE39" i="18"/>
  <c r="AJ17" i="11"/>
  <c r="AN16" i="11" s="1"/>
  <c r="AG39" i="18"/>
  <c r="AK7" i="23"/>
  <c r="C14" i="24" s="1"/>
  <c r="AF36" i="24"/>
  <c r="AF35" i="18"/>
  <c r="AK18" i="11"/>
  <c r="AO4" i="11" s="1"/>
  <c r="AK11" i="23"/>
  <c r="AO7" i="23" s="1"/>
  <c r="AF36" i="9"/>
  <c r="AK17" i="11"/>
  <c r="AO16" i="11" s="1"/>
  <c r="AF36" i="18"/>
  <c r="AG34" i="12"/>
  <c r="AJ15" i="11"/>
  <c r="B12" i="12" s="1"/>
  <c r="AE40" i="24"/>
  <c r="AF37" i="12"/>
  <c r="AG38" i="15"/>
  <c r="AJ15" i="20"/>
  <c r="B12" i="21" s="1"/>
  <c r="AF35" i="9"/>
  <c r="AG35" i="9"/>
  <c r="AE32" i="18"/>
  <c r="AE34" i="18"/>
  <c r="AJ7" i="11"/>
  <c r="B14" i="12" s="1"/>
  <c r="G15" i="12" s="1"/>
  <c r="L13" i="12" s="1"/>
  <c r="AG34" i="18"/>
  <c r="AF38" i="18"/>
  <c r="AG39" i="6"/>
  <c r="AG38" i="24"/>
  <c r="AE40" i="18"/>
  <c r="AK10" i="23"/>
  <c r="AO6" i="23" s="1"/>
  <c r="AK5" i="11"/>
  <c r="AO21" i="11" s="1"/>
  <c r="AF37" i="24"/>
  <c r="AG35" i="12"/>
  <c r="AK9" i="20"/>
  <c r="AO18" i="20" s="1"/>
  <c r="AG40" i="6"/>
  <c r="AE36" i="12"/>
  <c r="AG33" i="12"/>
  <c r="AE38" i="12"/>
  <c r="AF39" i="12"/>
  <c r="AF38" i="12"/>
  <c r="AE40" i="12"/>
  <c r="AE35" i="15"/>
  <c r="AF37" i="18"/>
  <c r="AJ12" i="11"/>
  <c r="B24" i="12" s="1"/>
  <c r="AF38" i="9"/>
  <c r="AK7" i="11"/>
  <c r="AO12" i="11" s="1"/>
  <c r="AK3" i="14"/>
  <c r="AO3" i="14" s="1"/>
  <c r="AF38" i="15"/>
  <c r="AE39" i="15"/>
  <c r="AG32" i="15"/>
  <c r="AG33" i="9"/>
  <c r="AK10" i="11"/>
  <c r="AJ13" i="23"/>
  <c r="B32" i="24" s="1"/>
  <c r="AE35" i="24"/>
  <c r="AE34" i="24"/>
  <c r="AJ13" i="8"/>
  <c r="AN25" i="8" s="1"/>
  <c r="AG35" i="15"/>
  <c r="AK4" i="8"/>
  <c r="AO15" i="8" s="1"/>
  <c r="AJ13" i="11"/>
  <c r="AN25" i="11" s="1"/>
  <c r="AJ7" i="20"/>
  <c r="B14" i="21" s="1"/>
  <c r="AJ14" i="23"/>
  <c r="AN13" i="23" s="1"/>
  <c r="AG37" i="24"/>
  <c r="AG36" i="24"/>
  <c r="AE39" i="6"/>
  <c r="AE32" i="9"/>
  <c r="AE35" i="9"/>
  <c r="AJ3" i="11"/>
  <c r="AN3" i="11" s="1"/>
  <c r="AK12" i="11"/>
  <c r="AK11" i="11"/>
  <c r="AO7" i="11" s="1"/>
  <c r="AJ3" i="23"/>
  <c r="AN3" i="23" s="1"/>
  <c r="AJ17" i="23"/>
  <c r="AN16" i="23" s="1"/>
  <c r="AE35" i="6"/>
  <c r="AF36" i="6"/>
  <c r="AG39" i="24"/>
  <c r="AF40" i="24"/>
  <c r="AF33" i="24"/>
  <c r="AF39" i="24"/>
  <c r="AE33" i="15"/>
  <c r="AF37" i="15"/>
  <c r="AF33" i="9"/>
  <c r="AG37" i="9"/>
  <c r="AG32" i="18"/>
  <c r="AG40" i="18"/>
  <c r="AE35" i="18"/>
  <c r="AF34" i="18"/>
  <c r="AK5" i="14"/>
  <c r="C26" i="15" s="1"/>
  <c r="AF36" i="15"/>
  <c r="AF34" i="15"/>
  <c r="AG37" i="15"/>
  <c r="AJ4" i="11"/>
  <c r="AN15" i="11" s="1"/>
  <c r="AJ9" i="11"/>
  <c r="B22" i="12" s="1"/>
  <c r="G23" i="12" s="1"/>
  <c r="AJ18" i="11"/>
  <c r="AK12" i="23"/>
  <c r="AO19" i="23" s="1"/>
  <c r="AJ9" i="23"/>
  <c r="AN18" i="23" s="1"/>
  <c r="AF32" i="24"/>
  <c r="AE33" i="24"/>
  <c r="AE39" i="24"/>
  <c r="AK17" i="17"/>
  <c r="C20" i="18" s="1"/>
  <c r="AK17" i="14"/>
  <c r="AO16" i="14" s="1"/>
  <c r="AF34" i="9"/>
  <c r="AJ8" i="11"/>
  <c r="AN24" i="11" s="1"/>
  <c r="AJ6" i="11"/>
  <c r="AN9" i="11" s="1"/>
  <c r="AK14" i="11"/>
  <c r="AO13" i="11" s="1"/>
  <c r="AJ9" i="14"/>
  <c r="AN18" i="14" s="1"/>
  <c r="AF34" i="24"/>
  <c r="AG35" i="24"/>
  <c r="AG36" i="15"/>
  <c r="AE38" i="15"/>
  <c r="AE34" i="9"/>
  <c r="AG39" i="9"/>
  <c r="AK9" i="11"/>
  <c r="AO18" i="11" s="1"/>
  <c r="AJ10" i="11"/>
  <c r="AN6" i="11" s="1"/>
  <c r="AK16" i="11"/>
  <c r="AO22" i="11" s="1"/>
  <c r="AK14" i="23"/>
  <c r="AO13" i="23" s="1"/>
  <c r="AE37" i="24"/>
  <c r="AF38" i="24"/>
  <c r="AE37" i="15"/>
  <c r="AE32" i="15"/>
  <c r="AG40" i="15"/>
  <c r="AK17" i="20"/>
  <c r="C20" i="21" s="1"/>
  <c r="AJ17" i="8"/>
  <c r="AN16" i="8" s="1"/>
  <c r="AK8" i="11"/>
  <c r="C30" i="12" s="1"/>
  <c r="AK4" i="11"/>
  <c r="AO15" i="11" s="1"/>
  <c r="AK13" i="11"/>
  <c r="AK9" i="17"/>
  <c r="AO18" i="17" s="1"/>
  <c r="AJ8" i="23"/>
  <c r="AN24" i="23" s="1"/>
  <c r="AJ6" i="23"/>
  <c r="AN9" i="23" s="1"/>
  <c r="AF40" i="6"/>
  <c r="AF37" i="6"/>
  <c r="AE32" i="24"/>
  <c r="AG32" i="24"/>
  <c r="AE36" i="24"/>
  <c r="AK17" i="23"/>
  <c r="AO16" i="23" s="1"/>
  <c r="AJ12" i="14"/>
  <c r="AN19" i="14" s="1"/>
  <c r="AF33" i="15"/>
  <c r="AE40" i="15"/>
  <c r="AE40" i="9"/>
  <c r="AF40" i="9"/>
  <c r="AF32" i="18"/>
  <c r="AG35" i="18"/>
  <c r="AG38" i="18"/>
  <c r="AE37" i="18"/>
  <c r="AJ6" i="8"/>
  <c r="AN9" i="8" s="1"/>
  <c r="AJ11" i="11"/>
  <c r="AN7" i="11" s="1"/>
  <c r="AJ5" i="11"/>
  <c r="AN21" i="11" s="1"/>
  <c r="AJ14" i="11"/>
  <c r="AN13" i="11" s="1"/>
  <c r="AJ13" i="17"/>
  <c r="AN25" i="17" s="1"/>
  <c r="AK3" i="23"/>
  <c r="C2" i="24" s="1"/>
  <c r="AG38" i="6"/>
  <c r="AG34" i="24"/>
  <c r="AF35" i="24"/>
  <c r="AE34" i="15"/>
  <c r="AF32" i="15"/>
  <c r="AE36" i="6"/>
  <c r="AF39" i="9"/>
  <c r="AE36" i="9"/>
  <c r="AG32" i="9"/>
  <c r="AE33" i="18"/>
  <c r="AE36" i="18"/>
  <c r="AG33" i="18"/>
  <c r="AK4" i="5"/>
  <c r="AJ10" i="5"/>
  <c r="AN6" i="5" s="1"/>
  <c r="AK8" i="5"/>
  <c r="AO24" i="5" s="1"/>
  <c r="AJ6" i="5"/>
  <c r="B10" i="6" s="1"/>
  <c r="G11" i="6" s="1"/>
  <c r="Z30" i="6" s="1"/>
  <c r="AK9" i="5"/>
  <c r="AO18" i="5" s="1"/>
  <c r="AJ12" i="5"/>
  <c r="B24" i="6" s="1"/>
  <c r="AK13" i="5"/>
  <c r="AO25" i="5" s="1"/>
  <c r="AJ14" i="5"/>
  <c r="AN13" i="5" s="1"/>
  <c r="AK14" i="5"/>
  <c r="C16" i="6" s="1"/>
  <c r="AK17" i="5"/>
  <c r="AO16" i="5" s="1"/>
  <c r="AK10" i="5"/>
  <c r="C6" i="6" s="1"/>
  <c r="AK14" i="8"/>
  <c r="AK14" i="14"/>
  <c r="AK7" i="20"/>
  <c r="AJ16" i="8"/>
  <c r="AJ8" i="8"/>
  <c r="AJ6" i="14"/>
  <c r="AK7" i="17"/>
  <c r="AK16" i="17"/>
  <c r="AJ17" i="20"/>
  <c r="AJ13" i="20"/>
  <c r="AJ9" i="5"/>
  <c r="AN18" i="5" s="1"/>
  <c r="AK11" i="8"/>
  <c r="AJ9" i="8"/>
  <c r="AK10" i="14"/>
  <c r="AK3" i="17"/>
  <c r="AJ11" i="20"/>
  <c r="AJ14" i="20"/>
  <c r="AE33" i="6"/>
  <c r="AK5" i="5"/>
  <c r="AO21" i="5" s="1"/>
  <c r="AF39" i="21"/>
  <c r="AG36" i="21"/>
  <c r="AE34" i="21"/>
  <c r="AG39" i="21"/>
  <c r="AF36" i="21"/>
  <c r="AF33" i="21"/>
  <c r="AE39" i="21"/>
  <c r="AE36" i="21"/>
  <c r="AE33" i="21"/>
  <c r="AG38" i="21"/>
  <c r="AG35" i="21"/>
  <c r="AG32" i="21"/>
  <c r="AG37" i="21"/>
  <c r="AF32" i="21"/>
  <c r="AF37" i="21"/>
  <c r="AE32" i="21"/>
  <c r="AE37" i="21"/>
  <c r="AE35" i="21"/>
  <c r="AG34" i="21"/>
  <c r="AG40" i="21"/>
  <c r="AF34" i="21"/>
  <c r="AF38" i="21"/>
  <c r="AE38" i="21"/>
  <c r="AF35" i="21"/>
  <c r="AG33" i="21"/>
  <c r="AE40" i="21"/>
  <c r="AF40" i="21"/>
  <c r="AK16" i="5"/>
  <c r="C28" i="6" s="1"/>
  <c r="AJ11" i="5"/>
  <c r="B8" i="6" s="1"/>
  <c r="AJ16" i="5"/>
  <c r="B28" i="6" s="1"/>
  <c r="AK5" i="8"/>
  <c r="AJ14" i="8"/>
  <c r="AJ12" i="8"/>
  <c r="AJ10" i="8"/>
  <c r="AK12" i="14"/>
  <c r="AK4" i="14"/>
  <c r="AK13" i="14"/>
  <c r="AK18" i="14"/>
  <c r="AJ18" i="17"/>
  <c r="AJ4" i="17"/>
  <c r="AK6" i="17"/>
  <c r="AK18" i="17"/>
  <c r="AJ16" i="20"/>
  <c r="AJ3" i="20"/>
  <c r="AK16" i="20"/>
  <c r="AJ18" i="20"/>
  <c r="AK9" i="23"/>
  <c r="AK8" i="23"/>
  <c r="AK15" i="23"/>
  <c r="AJ18" i="23"/>
  <c r="AF35" i="6"/>
  <c r="AF34" i="6"/>
  <c r="AE32" i="6"/>
  <c r="AK6" i="5"/>
  <c r="AG39" i="15"/>
  <c r="AF39" i="15"/>
  <c r="AF40" i="15"/>
  <c r="AG36" i="9"/>
  <c r="AE37" i="9"/>
  <c r="AE38" i="9"/>
  <c r="AK7" i="14"/>
  <c r="AK8" i="17"/>
  <c r="AK14" i="17"/>
  <c r="AJ9" i="20"/>
  <c r="AJ4" i="8"/>
  <c r="AJ17" i="5"/>
  <c r="AN16" i="5" s="1"/>
  <c r="AK13" i="8"/>
  <c r="AK9" i="14"/>
  <c r="AJ17" i="14"/>
  <c r="AJ5" i="17"/>
  <c r="AK18" i="20"/>
  <c r="AJ13" i="5"/>
  <c r="AN25" i="5" s="1"/>
  <c r="AK11" i="5"/>
  <c r="AO7" i="5" s="1"/>
  <c r="AK16" i="8"/>
  <c r="AK18" i="8"/>
  <c r="AK7" i="8"/>
  <c r="AJ3" i="14"/>
  <c r="AJ5" i="14"/>
  <c r="AJ3" i="17"/>
  <c r="AJ10" i="17"/>
  <c r="AK8" i="20"/>
  <c r="AK18" i="23"/>
  <c r="AJ10" i="23"/>
  <c r="AF33" i="6"/>
  <c r="AG40" i="9"/>
  <c r="AJ18" i="8"/>
  <c r="AJ11" i="14"/>
  <c r="AJ15" i="17"/>
  <c r="AK3" i="20"/>
  <c r="AK3" i="8"/>
  <c r="AJ15" i="8"/>
  <c r="AJ15" i="14"/>
  <c r="AJ16" i="17"/>
  <c r="AK5" i="20"/>
  <c r="AJ5" i="8"/>
  <c r="AK11" i="14"/>
  <c r="AK12" i="17"/>
  <c r="AJ17" i="17"/>
  <c r="AK15" i="20"/>
  <c r="AE34" i="6"/>
  <c r="AK15" i="5"/>
  <c r="C12" i="6" s="1"/>
  <c r="AK6" i="8"/>
  <c r="AJ14" i="14"/>
  <c r="AJ10" i="14"/>
  <c r="AJ6" i="17"/>
  <c r="AJ7" i="17"/>
  <c r="AJ8" i="20"/>
  <c r="AK4" i="20"/>
  <c r="AJ10" i="20"/>
  <c r="AJ11" i="23"/>
  <c r="AK16" i="23"/>
  <c r="AG36" i="6"/>
  <c r="AG35" i="6"/>
  <c r="AK7" i="5"/>
  <c r="AO12" i="5" s="1"/>
  <c r="AJ5" i="5"/>
  <c r="AK12" i="5"/>
  <c r="AO19" i="5" s="1"/>
  <c r="AK18" i="5"/>
  <c r="AO4" i="5" s="1"/>
  <c r="AJ7" i="8"/>
  <c r="AJ11" i="8"/>
  <c r="AK9" i="8"/>
  <c r="AJ3" i="8"/>
  <c r="AK8" i="14"/>
  <c r="AK6" i="14"/>
  <c r="AK15" i="14"/>
  <c r="AJ14" i="17"/>
  <c r="AK10" i="17"/>
  <c r="AJ9" i="17"/>
  <c r="AJ12" i="17"/>
  <c r="AK14" i="20"/>
  <c r="AJ4" i="20"/>
  <c r="AJ5" i="20"/>
  <c r="AJ12" i="20"/>
  <c r="AK4" i="23"/>
  <c r="AJ15" i="23"/>
  <c r="AJ5" i="23"/>
  <c r="AJ12" i="23"/>
  <c r="AE38" i="6"/>
  <c r="AE37" i="6"/>
  <c r="AG34" i="6"/>
  <c r="AE36" i="15"/>
  <c r="AG33" i="15"/>
  <c r="AG34" i="15"/>
  <c r="AG38" i="9"/>
  <c r="AE39" i="9"/>
  <c r="AF32" i="9"/>
  <c r="AJ7" i="5"/>
  <c r="AJ4" i="14"/>
  <c r="AJ11" i="17"/>
  <c r="AK10" i="8"/>
  <c r="AJ8" i="14"/>
  <c r="AK16" i="14"/>
  <c r="AK4" i="17"/>
  <c r="AK11" i="20"/>
  <c r="AJ4" i="5"/>
  <c r="AK3" i="5"/>
  <c r="AJ3" i="5"/>
  <c r="AJ15" i="5"/>
  <c r="AN10" i="5" s="1"/>
  <c r="AJ18" i="5"/>
  <c r="B4" i="6" s="1"/>
  <c r="AJ8" i="5"/>
  <c r="B30" i="6" s="1"/>
  <c r="AK17" i="8"/>
  <c r="AK15" i="8"/>
  <c r="AK12" i="8"/>
  <c r="AJ13" i="14"/>
  <c r="AJ7" i="14"/>
  <c r="AJ16" i="14"/>
  <c r="AK5" i="17"/>
  <c r="AK11" i="17"/>
  <c r="AK13" i="17"/>
  <c r="AK12" i="20"/>
  <c r="AJ6" i="20"/>
  <c r="AK6" i="20"/>
  <c r="AK5" i="23"/>
  <c r="AJ16" i="23"/>
  <c r="AK6" i="23"/>
  <c r="AF39" i="6"/>
  <c r="AF38" i="6"/>
  <c r="AG9" i="2"/>
  <c r="AG19" i="2"/>
  <c r="AG16" i="2"/>
  <c r="AG7" i="2"/>
  <c r="AG14" i="2"/>
  <c r="AG3" i="2"/>
  <c r="AG15" i="2"/>
  <c r="AG13" i="2"/>
  <c r="AG4" i="2"/>
  <c r="AG8" i="2"/>
  <c r="AG5" i="2"/>
  <c r="AG12" i="2"/>
  <c r="AG20" i="2"/>
  <c r="AG18" i="2"/>
  <c r="AG6" i="2"/>
  <c r="AG21" i="2"/>
  <c r="AG11" i="2"/>
  <c r="AG17" i="2"/>
  <c r="AG10" i="2"/>
  <c r="AE6" i="2"/>
  <c r="AE10" i="2"/>
  <c r="AE3" i="2"/>
  <c r="Q9" i="12" l="1"/>
  <c r="AE4" i="12"/>
  <c r="L13" i="13"/>
  <c r="Z34" i="12"/>
  <c r="G23" i="13"/>
  <c r="Z31" i="12"/>
  <c r="G15" i="13"/>
  <c r="H3" i="12"/>
  <c r="M5" i="12" s="1"/>
  <c r="H11" i="12"/>
  <c r="AK7" i="12"/>
  <c r="C8" i="12"/>
  <c r="AA7" i="12" s="1"/>
  <c r="C28" i="12"/>
  <c r="C28" i="13" s="1"/>
  <c r="B22" i="24"/>
  <c r="AJ16" i="24" s="1"/>
  <c r="AN12" i="23"/>
  <c r="B4" i="15"/>
  <c r="Z4" i="15" s="1"/>
  <c r="AO6" i="20"/>
  <c r="L13" i="6"/>
  <c r="Q9" i="6" s="1"/>
  <c r="AO16" i="20"/>
  <c r="B32" i="9"/>
  <c r="AN10" i="20"/>
  <c r="B30" i="18"/>
  <c r="Z24" i="18" s="1"/>
  <c r="C20" i="12"/>
  <c r="C20" i="13" s="1"/>
  <c r="C32" i="21"/>
  <c r="AA25" i="21" s="1"/>
  <c r="B22" i="15"/>
  <c r="Z18" i="15" s="1"/>
  <c r="AN12" i="11"/>
  <c r="B20" i="9"/>
  <c r="Z16" i="9" s="1"/>
  <c r="C4" i="12"/>
  <c r="AA4" i="12" s="1"/>
  <c r="AN19" i="11"/>
  <c r="B26" i="12"/>
  <c r="B8" i="12"/>
  <c r="B8" i="13" s="1"/>
  <c r="C16" i="24"/>
  <c r="C16" i="25" s="1"/>
  <c r="B6" i="12"/>
  <c r="B10" i="12"/>
  <c r="AN15" i="23"/>
  <c r="AO3" i="11"/>
  <c r="AO12" i="23"/>
  <c r="B24" i="15"/>
  <c r="B24" i="16" s="1"/>
  <c r="C6" i="24"/>
  <c r="AA6" i="24" s="1"/>
  <c r="C12" i="18"/>
  <c r="AA10" i="18" s="1"/>
  <c r="C30" i="9"/>
  <c r="C30" i="10" s="1"/>
  <c r="AN10" i="11"/>
  <c r="AO21" i="14"/>
  <c r="C22" i="21"/>
  <c r="C22" i="22" s="1"/>
  <c r="C20" i="24"/>
  <c r="AA16" i="24" s="1"/>
  <c r="AN25" i="23"/>
  <c r="AO9" i="11"/>
  <c r="C22" i="18"/>
  <c r="C22" i="19" s="1"/>
  <c r="AO10" i="11"/>
  <c r="C8" i="24"/>
  <c r="C8" i="25" s="1"/>
  <c r="C24" i="24"/>
  <c r="AA19" i="24" s="1"/>
  <c r="B28" i="12"/>
  <c r="B28" i="13" s="1"/>
  <c r="B20" i="12"/>
  <c r="Z16" i="12" s="1"/>
  <c r="AO16" i="17"/>
  <c r="L39" i="26"/>
  <c r="I24" i="26"/>
  <c r="B6" i="6"/>
  <c r="B6" i="7" s="1"/>
  <c r="AO13" i="5"/>
  <c r="AN24" i="5"/>
  <c r="AN19" i="5"/>
  <c r="C8" i="6"/>
  <c r="AA7" i="6" s="1"/>
  <c r="B20" i="24"/>
  <c r="Z16" i="24" s="1"/>
  <c r="C26" i="12"/>
  <c r="C32" i="24"/>
  <c r="AA25" i="24" s="1"/>
  <c r="B10" i="24"/>
  <c r="Z9" i="24" s="1"/>
  <c r="B30" i="24"/>
  <c r="Z24" i="24" s="1"/>
  <c r="L9" i="26"/>
  <c r="I38" i="26"/>
  <c r="J2" i="26"/>
  <c r="C22" i="12"/>
  <c r="C16" i="12"/>
  <c r="AA13" i="12" s="1"/>
  <c r="C2" i="15"/>
  <c r="AA3" i="15" s="1"/>
  <c r="C24" i="6"/>
  <c r="AA19" i="6" s="1"/>
  <c r="B16" i="24"/>
  <c r="Z13" i="24" s="1"/>
  <c r="B10" i="9"/>
  <c r="B10" i="10" s="1"/>
  <c r="B30" i="12"/>
  <c r="Z24" i="12" s="1"/>
  <c r="C14" i="12"/>
  <c r="AN22" i="5"/>
  <c r="AN18" i="11"/>
  <c r="AO24" i="11"/>
  <c r="AO25" i="11"/>
  <c r="C32" i="12"/>
  <c r="L29" i="26"/>
  <c r="L35" i="26"/>
  <c r="I16" i="26"/>
  <c r="J37" i="26"/>
  <c r="J23" i="26"/>
  <c r="L23" i="26"/>
  <c r="L27" i="26"/>
  <c r="L32" i="26"/>
  <c r="L18" i="26"/>
  <c r="I22" i="26"/>
  <c r="I31" i="26"/>
  <c r="I30" i="26"/>
  <c r="I18" i="26"/>
  <c r="I7" i="26"/>
  <c r="I12" i="26"/>
  <c r="I17" i="26"/>
  <c r="I3" i="26"/>
  <c r="I26" i="26"/>
  <c r="I36" i="26"/>
  <c r="I25" i="26"/>
  <c r="I32" i="26"/>
  <c r="AN4" i="11"/>
  <c r="B4" i="12"/>
  <c r="B4" i="13" s="1"/>
  <c r="J14" i="26"/>
  <c r="J38" i="26"/>
  <c r="J19" i="26"/>
  <c r="J31" i="26"/>
  <c r="J3" i="26"/>
  <c r="J18" i="26"/>
  <c r="J25" i="26"/>
  <c r="J9" i="26"/>
  <c r="J22" i="26"/>
  <c r="J29" i="26"/>
  <c r="J6" i="26"/>
  <c r="J35" i="26"/>
  <c r="J8" i="26"/>
  <c r="J4" i="26"/>
  <c r="J16" i="26"/>
  <c r="J27" i="26"/>
  <c r="J33" i="26"/>
  <c r="J5" i="26"/>
  <c r="J39" i="26"/>
  <c r="C24" i="12"/>
  <c r="AA19" i="12" s="1"/>
  <c r="AO19" i="11"/>
  <c r="AO6" i="11"/>
  <c r="C6" i="12"/>
  <c r="AK6" i="12" s="1"/>
  <c r="I35" i="26"/>
  <c r="L12" i="26"/>
  <c r="I19" i="26"/>
  <c r="J11" i="26"/>
  <c r="L30" i="26"/>
  <c r="L21" i="26"/>
  <c r="I6" i="26"/>
  <c r="L5" i="26"/>
  <c r="AN12" i="20"/>
  <c r="B16" i="6"/>
  <c r="B16" i="7" s="1"/>
  <c r="I2" i="26"/>
  <c r="L4" i="26"/>
  <c r="J24" i="26"/>
  <c r="J32" i="26"/>
  <c r="I34" i="26"/>
  <c r="I9" i="26"/>
  <c r="L28" i="26"/>
  <c r="AO3" i="23"/>
  <c r="I29" i="26"/>
  <c r="C20" i="15"/>
  <c r="C20" i="16" s="1"/>
  <c r="C32" i="6"/>
  <c r="AA25" i="6" s="1"/>
  <c r="B20" i="6"/>
  <c r="Z16" i="6" s="1"/>
  <c r="L25" i="26"/>
  <c r="L14" i="26"/>
  <c r="L13" i="26"/>
  <c r="L3" i="26"/>
  <c r="L31" i="26"/>
  <c r="C22" i="6"/>
  <c r="AA18" i="6" s="1"/>
  <c r="B16" i="12"/>
  <c r="B16" i="13" s="1"/>
  <c r="I15" i="26"/>
  <c r="I27" i="26"/>
  <c r="I23" i="26"/>
  <c r="L6" i="26"/>
  <c r="L10" i="26"/>
  <c r="L22" i="26"/>
  <c r="L19" i="26"/>
  <c r="L26" i="26"/>
  <c r="B2" i="24"/>
  <c r="Z3" i="24" s="1"/>
  <c r="B2" i="12"/>
  <c r="J7" i="26"/>
  <c r="J34" i="26"/>
  <c r="J12" i="26"/>
  <c r="J28" i="26"/>
  <c r="C18" i="9"/>
  <c r="AO22" i="5"/>
  <c r="B22" i="6"/>
  <c r="B22" i="7" s="1"/>
  <c r="B18" i="12"/>
  <c r="I11" i="26"/>
  <c r="I4" i="26"/>
  <c r="I28" i="26"/>
  <c r="L17" i="26"/>
  <c r="L37" i="26"/>
  <c r="L36" i="26"/>
  <c r="L7" i="26"/>
  <c r="L8" i="26"/>
  <c r="C18" i="12"/>
  <c r="J17" i="26"/>
  <c r="J15" i="26"/>
  <c r="J26" i="26"/>
  <c r="J30" i="26"/>
  <c r="J20" i="26"/>
  <c r="L34" i="26"/>
  <c r="L33" i="26"/>
  <c r="L20" i="26"/>
  <c r="L15" i="26"/>
  <c r="L24" i="26"/>
  <c r="B32" i="18"/>
  <c r="B32" i="19" s="1"/>
  <c r="B32" i="12"/>
  <c r="C4" i="6"/>
  <c r="C4" i="7" s="1"/>
  <c r="I10" i="26"/>
  <c r="I8" i="26"/>
  <c r="I21" i="26"/>
  <c r="L38" i="26"/>
  <c r="L2" i="26"/>
  <c r="L16" i="26"/>
  <c r="L11" i="26"/>
  <c r="J13" i="26"/>
  <c r="J10" i="26"/>
  <c r="J36" i="26"/>
  <c r="J21" i="26"/>
  <c r="AO9" i="23"/>
  <c r="C10" i="24"/>
  <c r="AO15" i="17"/>
  <c r="C18" i="18"/>
  <c r="AN19" i="23"/>
  <c r="B24" i="24"/>
  <c r="AO18" i="8"/>
  <c r="C22" i="9"/>
  <c r="C26" i="16"/>
  <c r="AA21" i="15"/>
  <c r="AK17" i="15"/>
  <c r="AO4" i="20"/>
  <c r="C4" i="21"/>
  <c r="AO3" i="17"/>
  <c r="C2" i="18"/>
  <c r="G11" i="7"/>
  <c r="AO22" i="8"/>
  <c r="C28" i="9"/>
  <c r="AO25" i="14"/>
  <c r="C32" i="15"/>
  <c r="AN25" i="20"/>
  <c r="B32" i="21"/>
  <c r="Z12" i="24"/>
  <c r="B14" i="25"/>
  <c r="AJ14" i="24"/>
  <c r="AO10" i="5"/>
  <c r="AN21" i="5"/>
  <c r="B26" i="6"/>
  <c r="AJ9" i="6" s="1"/>
  <c r="AN16" i="20"/>
  <c r="B20" i="21"/>
  <c r="AN12" i="17"/>
  <c r="B14" i="18"/>
  <c r="AO18" i="14"/>
  <c r="C22" i="15"/>
  <c r="AN22" i="20"/>
  <c r="B28" i="21"/>
  <c r="AO19" i="14"/>
  <c r="C24" i="15"/>
  <c r="AO22" i="17"/>
  <c r="C28" i="18"/>
  <c r="B14" i="22"/>
  <c r="Z12" i="21"/>
  <c r="AJ14" i="21"/>
  <c r="C2" i="13"/>
  <c r="AA3" i="12"/>
  <c r="AK11" i="12"/>
  <c r="C18" i="6"/>
  <c r="AO15" i="5"/>
  <c r="AO6" i="5"/>
  <c r="B10" i="7"/>
  <c r="AN7" i="5"/>
  <c r="AN9" i="20"/>
  <c r="B10" i="21"/>
  <c r="AO19" i="8"/>
  <c r="C24" i="9"/>
  <c r="AN15" i="5"/>
  <c r="B18" i="6"/>
  <c r="AN12" i="5"/>
  <c r="B14" i="6"/>
  <c r="AN19" i="20"/>
  <c r="B24" i="21"/>
  <c r="AO10" i="14"/>
  <c r="C12" i="15"/>
  <c r="I13" i="26"/>
  <c r="I33" i="26"/>
  <c r="I5" i="26"/>
  <c r="I20" i="26"/>
  <c r="AN9" i="17"/>
  <c r="B10" i="18"/>
  <c r="AO19" i="17"/>
  <c r="C24" i="18"/>
  <c r="AN7" i="14"/>
  <c r="B8" i="15"/>
  <c r="AN3" i="17"/>
  <c r="B2" i="18"/>
  <c r="AO13" i="17"/>
  <c r="C16" i="18"/>
  <c r="AN4" i="23"/>
  <c r="B4" i="24"/>
  <c r="AO4" i="17"/>
  <c r="C4" i="18"/>
  <c r="AN6" i="8"/>
  <c r="B6" i="9"/>
  <c r="AN18" i="8"/>
  <c r="B22" i="9"/>
  <c r="AO12" i="17"/>
  <c r="C14" i="18"/>
  <c r="AO12" i="20"/>
  <c r="C14" i="21"/>
  <c r="AA16" i="18"/>
  <c r="C20" i="19"/>
  <c r="AO21" i="17"/>
  <c r="C26" i="18"/>
  <c r="AN7" i="17"/>
  <c r="B8" i="18"/>
  <c r="AN19" i="17"/>
  <c r="B24" i="18"/>
  <c r="AN22" i="17"/>
  <c r="B28" i="18"/>
  <c r="AO4" i="14"/>
  <c r="C4" i="15"/>
  <c r="AN24" i="8"/>
  <c r="B30" i="9"/>
  <c r="AO13" i="8"/>
  <c r="C16" i="9"/>
  <c r="AO22" i="14"/>
  <c r="C28" i="15"/>
  <c r="AN21" i="23"/>
  <c r="B26" i="24"/>
  <c r="AN10" i="14"/>
  <c r="B12" i="15"/>
  <c r="AO4" i="23"/>
  <c r="C4" i="24"/>
  <c r="AN21" i="17"/>
  <c r="B26" i="18"/>
  <c r="AO6" i="14"/>
  <c r="C6" i="15"/>
  <c r="AN22" i="8"/>
  <c r="B28" i="9"/>
  <c r="B12" i="13"/>
  <c r="Z10" i="12"/>
  <c r="AN10" i="23"/>
  <c r="B12" i="24"/>
  <c r="AN12" i="8"/>
  <c r="B14" i="9"/>
  <c r="AO10" i="20"/>
  <c r="C12" i="21"/>
  <c r="C6" i="22"/>
  <c r="AA6" i="21"/>
  <c r="AK12" i="21"/>
  <c r="AN3" i="20"/>
  <c r="B2" i="21"/>
  <c r="B12" i="22"/>
  <c r="Z10" i="21"/>
  <c r="AN4" i="5"/>
  <c r="AO9" i="20"/>
  <c r="C10" i="21"/>
  <c r="AN16" i="17"/>
  <c r="B20" i="18"/>
  <c r="AN10" i="17"/>
  <c r="B12" i="18"/>
  <c r="B32" i="6"/>
  <c r="B32" i="7" s="1"/>
  <c r="C30" i="6"/>
  <c r="C30" i="7" s="1"/>
  <c r="AO19" i="20"/>
  <c r="C24" i="21"/>
  <c r="AO10" i="8"/>
  <c r="C12" i="9"/>
  <c r="H11" i="9" s="1"/>
  <c r="AA12" i="24"/>
  <c r="C14" i="25"/>
  <c r="AK14" i="24"/>
  <c r="AO9" i="14"/>
  <c r="C10" i="15"/>
  <c r="AO7" i="14"/>
  <c r="C8" i="15"/>
  <c r="C2" i="25"/>
  <c r="AA3" i="24"/>
  <c r="AK11" i="24"/>
  <c r="B22" i="13"/>
  <c r="Z18" i="12"/>
  <c r="AJ16" i="12"/>
  <c r="AN21" i="14"/>
  <c r="B26" i="15"/>
  <c r="AA24" i="12"/>
  <c r="C30" i="13"/>
  <c r="AK18" i="12"/>
  <c r="AO24" i="17"/>
  <c r="C30" i="18"/>
  <c r="AO10" i="23"/>
  <c r="C12" i="24"/>
  <c r="AO9" i="17"/>
  <c r="C10" i="18"/>
  <c r="AN19" i="8"/>
  <c r="B24" i="9"/>
  <c r="AO7" i="8"/>
  <c r="C8" i="9"/>
  <c r="AN9" i="14"/>
  <c r="B10" i="15"/>
  <c r="AO13" i="14"/>
  <c r="C16" i="15"/>
  <c r="AO4" i="8"/>
  <c r="C4" i="9"/>
  <c r="AN4" i="20"/>
  <c r="B4" i="21"/>
  <c r="AN22" i="23"/>
  <c r="B28" i="24"/>
  <c r="AN7" i="8"/>
  <c r="B8" i="9"/>
  <c r="AO22" i="20"/>
  <c r="C28" i="21"/>
  <c r="AN12" i="14"/>
  <c r="B14" i="15"/>
  <c r="AN24" i="14"/>
  <c r="B30" i="15"/>
  <c r="AN24" i="20"/>
  <c r="B30" i="21"/>
  <c r="AN21" i="8"/>
  <c r="B26" i="9"/>
  <c r="AO24" i="20"/>
  <c r="C30" i="21"/>
  <c r="AN16" i="14"/>
  <c r="B20" i="15"/>
  <c r="AN25" i="14"/>
  <c r="B32" i="15"/>
  <c r="Z12" i="12"/>
  <c r="B14" i="13"/>
  <c r="AJ14" i="12"/>
  <c r="AN13" i="17"/>
  <c r="B16" i="18"/>
  <c r="Z25" i="24"/>
  <c r="B32" i="25"/>
  <c r="AN6" i="17"/>
  <c r="B6" i="18"/>
  <c r="AN18" i="20"/>
  <c r="B22" i="21"/>
  <c r="C20" i="6"/>
  <c r="AA16" i="6" s="1"/>
  <c r="C14" i="6"/>
  <c r="AA12" i="6" s="1"/>
  <c r="AN9" i="5"/>
  <c r="AO6" i="8"/>
  <c r="C6" i="9"/>
  <c r="AN21" i="20"/>
  <c r="B26" i="21"/>
  <c r="AN6" i="14"/>
  <c r="B6" i="15"/>
  <c r="B12" i="6"/>
  <c r="B12" i="7" s="1"/>
  <c r="AO25" i="17"/>
  <c r="C32" i="18"/>
  <c r="AA10" i="12"/>
  <c r="C12" i="13"/>
  <c r="AO16" i="8"/>
  <c r="C20" i="9"/>
  <c r="AN15" i="20"/>
  <c r="B18" i="21"/>
  <c r="AO24" i="14"/>
  <c r="C30" i="15"/>
  <c r="I14" i="26"/>
  <c r="I39" i="26"/>
  <c r="I37" i="26"/>
  <c r="AO22" i="23"/>
  <c r="C28" i="24"/>
  <c r="AN13" i="14"/>
  <c r="B16" i="15"/>
  <c r="AN10" i="8"/>
  <c r="B12" i="9"/>
  <c r="G11" i="9" s="1"/>
  <c r="AN3" i="14"/>
  <c r="B2" i="15"/>
  <c r="Z15" i="24"/>
  <c r="B18" i="25"/>
  <c r="AJ15" i="24"/>
  <c r="AO25" i="8"/>
  <c r="C32" i="9"/>
  <c r="H31" i="9" s="1"/>
  <c r="AO12" i="14"/>
  <c r="C14" i="15"/>
  <c r="AO24" i="23"/>
  <c r="C30" i="24"/>
  <c r="AN15" i="17"/>
  <c r="B18" i="18"/>
  <c r="AN13" i="8"/>
  <c r="B16" i="9"/>
  <c r="AN13" i="20"/>
  <c r="B16" i="21"/>
  <c r="C20" i="22"/>
  <c r="AA16" i="21"/>
  <c r="C10" i="13"/>
  <c r="AA9" i="12"/>
  <c r="AK13" i="12"/>
  <c r="AN6" i="20"/>
  <c r="B6" i="21"/>
  <c r="AN6" i="23"/>
  <c r="B6" i="24"/>
  <c r="AN15" i="8"/>
  <c r="B18" i="9"/>
  <c r="G19" i="9" s="1"/>
  <c r="C10" i="6"/>
  <c r="AO9" i="5"/>
  <c r="AN22" i="14"/>
  <c r="B28" i="15"/>
  <c r="AN15" i="14"/>
  <c r="B18" i="15"/>
  <c r="AN18" i="17"/>
  <c r="B22" i="18"/>
  <c r="AO15" i="20"/>
  <c r="C18" i="21"/>
  <c r="AO21" i="23"/>
  <c r="C26" i="24"/>
  <c r="AN3" i="5"/>
  <c r="B2" i="6"/>
  <c r="AO6" i="17"/>
  <c r="C6" i="18"/>
  <c r="AO3" i="20"/>
  <c r="C2" i="21"/>
  <c r="AO15" i="14"/>
  <c r="C18" i="15"/>
  <c r="K20" i="26"/>
  <c r="K19" i="26"/>
  <c r="K12" i="26"/>
  <c r="K14" i="26"/>
  <c r="K16" i="26"/>
  <c r="K2" i="26"/>
  <c r="K31" i="26"/>
  <c r="K24" i="26"/>
  <c r="K26" i="26"/>
  <c r="K18" i="26"/>
  <c r="K25" i="26"/>
  <c r="K27" i="26"/>
  <c r="K29" i="26"/>
  <c r="K36" i="26"/>
  <c r="K15" i="26"/>
  <c r="K17" i="26"/>
  <c r="K38" i="26"/>
  <c r="K39" i="26"/>
  <c r="K33" i="26"/>
  <c r="K13" i="26"/>
  <c r="K32" i="26"/>
  <c r="K23" i="26"/>
  <c r="K30" i="26"/>
  <c r="K3" i="26"/>
  <c r="K11" i="26"/>
  <c r="K8" i="26"/>
  <c r="K7" i="26"/>
  <c r="K22" i="26"/>
  <c r="K6" i="26"/>
  <c r="K34" i="26"/>
  <c r="K37" i="26"/>
  <c r="K35" i="26"/>
  <c r="K21" i="26"/>
  <c r="K28" i="26"/>
  <c r="K9" i="26"/>
  <c r="K5" i="26"/>
  <c r="K10" i="26"/>
  <c r="K4" i="26"/>
  <c r="Z9" i="6"/>
  <c r="C2" i="6"/>
  <c r="AK6" i="6" s="1"/>
  <c r="AO3" i="5"/>
  <c r="AO15" i="23"/>
  <c r="C18" i="24"/>
  <c r="C26" i="6"/>
  <c r="AO7" i="17"/>
  <c r="C8" i="18"/>
  <c r="AO7" i="20"/>
  <c r="C8" i="21"/>
  <c r="AO13" i="20"/>
  <c r="C16" i="21"/>
  <c r="Z19" i="12"/>
  <c r="B24" i="13"/>
  <c r="AN3" i="8"/>
  <c r="B2" i="9"/>
  <c r="G3" i="9" s="1"/>
  <c r="AN7" i="23"/>
  <c r="B8" i="24"/>
  <c r="AO9" i="8"/>
  <c r="C10" i="9"/>
  <c r="AO21" i="20"/>
  <c r="C26" i="21"/>
  <c r="AO3" i="8"/>
  <c r="C2" i="9"/>
  <c r="H3" i="9" s="1"/>
  <c r="AN4" i="8"/>
  <c r="B4" i="9"/>
  <c r="AO12" i="8"/>
  <c r="C14" i="9"/>
  <c r="AO18" i="23"/>
  <c r="C22" i="24"/>
  <c r="AN4" i="17"/>
  <c r="B4" i="18"/>
  <c r="AO21" i="8"/>
  <c r="C26" i="9"/>
  <c r="AN7" i="20"/>
  <c r="B8" i="21"/>
  <c r="G31" i="6"/>
  <c r="H7" i="6"/>
  <c r="AA10" i="6"/>
  <c r="C12" i="7"/>
  <c r="AA22" i="6"/>
  <c r="C28" i="7"/>
  <c r="Z24" i="6"/>
  <c r="B30" i="7"/>
  <c r="Z4" i="6"/>
  <c r="B4" i="7"/>
  <c r="Z22" i="6"/>
  <c r="B28" i="7"/>
  <c r="Z19" i="6"/>
  <c r="B24" i="7"/>
  <c r="AA13" i="6"/>
  <c r="C16" i="7"/>
  <c r="C6" i="7"/>
  <c r="AA6" i="6"/>
  <c r="Z7" i="6"/>
  <c r="B8" i="7"/>
  <c r="AF3" i="2"/>
  <c r="X3" i="2" s="1"/>
  <c r="AF10" i="2"/>
  <c r="X10" i="2" s="1"/>
  <c r="AF6" i="2"/>
  <c r="X6" i="2" s="1"/>
  <c r="AE5" i="2"/>
  <c r="AE4" i="2"/>
  <c r="AE15" i="2"/>
  <c r="AE11" i="2"/>
  <c r="AE8" i="2"/>
  <c r="AE20" i="2"/>
  <c r="AE21" i="2"/>
  <c r="AE7" i="2"/>
  <c r="AE13" i="2"/>
  <c r="AE16" i="2"/>
  <c r="AE22" i="2"/>
  <c r="AF22" i="2" s="1"/>
  <c r="X22" i="2" s="1"/>
  <c r="AE17" i="2"/>
  <c r="AE19" i="2"/>
  <c r="AE18" i="2"/>
  <c r="AE12" i="2"/>
  <c r="AE14" i="2"/>
  <c r="AE9" i="2"/>
  <c r="AF3" i="12" l="1"/>
  <c r="M5" i="13"/>
  <c r="AJ18" i="18"/>
  <c r="B22" i="25"/>
  <c r="Z18" i="24"/>
  <c r="AE12" i="12"/>
  <c r="Q9" i="13"/>
  <c r="B2" i="13"/>
  <c r="G3" i="12"/>
  <c r="L5" i="12" s="1"/>
  <c r="AJ6" i="12"/>
  <c r="AK17" i="12"/>
  <c r="H27" i="12"/>
  <c r="M29" i="12" s="1"/>
  <c r="AK9" i="12"/>
  <c r="AF23" i="12" s="1"/>
  <c r="C6" i="13"/>
  <c r="H7" i="12"/>
  <c r="B18" i="13"/>
  <c r="G19" i="12"/>
  <c r="L21" i="12" s="1"/>
  <c r="AJ8" i="12"/>
  <c r="AA18" i="12"/>
  <c r="H23" i="12"/>
  <c r="Z21" i="12"/>
  <c r="G27" i="12"/>
  <c r="L29" i="12" s="1"/>
  <c r="AJ9" i="12"/>
  <c r="AE23" i="12" s="1"/>
  <c r="AA25" i="12"/>
  <c r="H31" i="12"/>
  <c r="AJ13" i="12"/>
  <c r="G11" i="12"/>
  <c r="AJ7" i="12"/>
  <c r="AA30" i="12"/>
  <c r="H11" i="13"/>
  <c r="AF24" i="12"/>
  <c r="C14" i="13"/>
  <c r="H15" i="12"/>
  <c r="M13" i="12" s="1"/>
  <c r="AJ12" i="12"/>
  <c r="G7" i="12"/>
  <c r="AA15" i="12"/>
  <c r="H19" i="12"/>
  <c r="M21" i="12" s="1"/>
  <c r="AK8" i="12"/>
  <c r="AA27" i="12"/>
  <c r="H3" i="13"/>
  <c r="B32" i="13"/>
  <c r="G31" i="12"/>
  <c r="C8" i="13"/>
  <c r="AA22" i="12"/>
  <c r="B32" i="10"/>
  <c r="G31" i="9"/>
  <c r="L21" i="9"/>
  <c r="G19" i="10"/>
  <c r="Z33" i="9"/>
  <c r="G7" i="9"/>
  <c r="AJ6" i="9"/>
  <c r="M13" i="9"/>
  <c r="AA30" i="9"/>
  <c r="H11" i="10"/>
  <c r="M29" i="9"/>
  <c r="H31" i="10"/>
  <c r="AA37" i="9"/>
  <c r="AA15" i="9"/>
  <c r="H19" i="9"/>
  <c r="H27" i="9"/>
  <c r="AK9" i="9"/>
  <c r="H15" i="9"/>
  <c r="AK7" i="9"/>
  <c r="M5" i="9"/>
  <c r="H3" i="10"/>
  <c r="AA27" i="9"/>
  <c r="G3" i="10"/>
  <c r="L5" i="9"/>
  <c r="Z27" i="9"/>
  <c r="H7" i="9"/>
  <c r="AK6" i="9"/>
  <c r="L13" i="9"/>
  <c r="Z30" i="9"/>
  <c r="G11" i="10"/>
  <c r="G15" i="9"/>
  <c r="AE29" i="9" s="1"/>
  <c r="AJ7" i="9"/>
  <c r="H23" i="9"/>
  <c r="AK8" i="9"/>
  <c r="G27" i="9"/>
  <c r="AJ9" i="9"/>
  <c r="G23" i="9"/>
  <c r="AJ8" i="9"/>
  <c r="AA13" i="24"/>
  <c r="B4" i="16"/>
  <c r="Z25" i="9"/>
  <c r="L13" i="7"/>
  <c r="AJ17" i="12"/>
  <c r="AA16" i="12"/>
  <c r="B26" i="13"/>
  <c r="AA18" i="21"/>
  <c r="AE4" i="6"/>
  <c r="G23" i="6"/>
  <c r="Z34" i="6" s="1"/>
  <c r="B30" i="19"/>
  <c r="AK16" i="21"/>
  <c r="AK7" i="6"/>
  <c r="C20" i="25"/>
  <c r="Z7" i="12"/>
  <c r="H23" i="6"/>
  <c r="AA34" i="6" s="1"/>
  <c r="AK9" i="6"/>
  <c r="H31" i="6"/>
  <c r="H31" i="7" s="1"/>
  <c r="Z22" i="12"/>
  <c r="AK8" i="6"/>
  <c r="G15" i="6"/>
  <c r="AJ7" i="6"/>
  <c r="AJ16" i="15"/>
  <c r="AK12" i="6"/>
  <c r="G7" i="6"/>
  <c r="Z28" i="6" s="1"/>
  <c r="AJ6" i="6"/>
  <c r="Z6" i="12"/>
  <c r="B22" i="16"/>
  <c r="AJ8" i="6"/>
  <c r="B6" i="13"/>
  <c r="H15" i="6"/>
  <c r="AA31" i="6" s="1"/>
  <c r="AK14" i="12"/>
  <c r="AJ18" i="6"/>
  <c r="AJ13" i="6"/>
  <c r="B20" i="10"/>
  <c r="B10" i="25"/>
  <c r="C16" i="13"/>
  <c r="AA7" i="24"/>
  <c r="C4" i="13"/>
  <c r="AA16" i="15"/>
  <c r="C32" i="22"/>
  <c r="AJ12" i="6"/>
  <c r="Z6" i="6"/>
  <c r="B20" i="25"/>
  <c r="AJ13" i="24"/>
  <c r="AK12" i="24"/>
  <c r="AK15" i="9"/>
  <c r="C6" i="25"/>
  <c r="AJ18" i="24"/>
  <c r="B10" i="13"/>
  <c r="AK16" i="18"/>
  <c r="AA12" i="12"/>
  <c r="AK18" i="9"/>
  <c r="AA24" i="9"/>
  <c r="Z9" i="12"/>
  <c r="B20" i="13"/>
  <c r="Z25" i="18"/>
  <c r="C18" i="10"/>
  <c r="C12" i="19"/>
  <c r="C8" i="7"/>
  <c r="Z4" i="12"/>
  <c r="Z19" i="15"/>
  <c r="C32" i="25"/>
  <c r="AK16" i="12"/>
  <c r="B30" i="25"/>
  <c r="C22" i="13"/>
  <c r="C24" i="25"/>
  <c r="AA18" i="18"/>
  <c r="B16" i="25"/>
  <c r="C26" i="13"/>
  <c r="AK12" i="12"/>
  <c r="Z25" i="12"/>
  <c r="AA21" i="12"/>
  <c r="AK14" i="6"/>
  <c r="C14" i="7"/>
  <c r="C24" i="7"/>
  <c r="C20" i="7"/>
  <c r="Z10" i="6"/>
  <c r="AJ18" i="12"/>
  <c r="AK15" i="12"/>
  <c r="Z13" i="6"/>
  <c r="AK11" i="15"/>
  <c r="AJ13" i="9"/>
  <c r="C18" i="13"/>
  <c r="C32" i="13"/>
  <c r="B30" i="13"/>
  <c r="C2" i="16"/>
  <c r="Z9" i="9"/>
  <c r="Z13" i="12"/>
  <c r="C24" i="13"/>
  <c r="Z18" i="6"/>
  <c r="AA4" i="6"/>
  <c r="C32" i="7"/>
  <c r="AK16" i="6"/>
  <c r="Z15" i="12"/>
  <c r="B2" i="25"/>
  <c r="AJ11" i="12"/>
  <c r="AA6" i="12"/>
  <c r="AJ16" i="6"/>
  <c r="AA24" i="6"/>
  <c r="AJ15" i="12"/>
  <c r="AJ11" i="24"/>
  <c r="B20" i="7"/>
  <c r="C22" i="7"/>
  <c r="Z3" i="12"/>
  <c r="H3" i="6"/>
  <c r="M5" i="6" s="1"/>
  <c r="C2" i="7"/>
  <c r="AA3" i="6"/>
  <c r="AK11" i="6"/>
  <c r="B24" i="25"/>
  <c r="Z19" i="24"/>
  <c r="AA21" i="24"/>
  <c r="C26" i="25"/>
  <c r="AK17" i="24"/>
  <c r="AA9" i="21"/>
  <c r="C10" i="22"/>
  <c r="AK13" i="21"/>
  <c r="AA4" i="24"/>
  <c r="C4" i="25"/>
  <c r="C14" i="22"/>
  <c r="AA12" i="21"/>
  <c r="AK14" i="21"/>
  <c r="B20" i="22"/>
  <c r="Z16" i="21"/>
  <c r="AA12" i="9"/>
  <c r="C14" i="10"/>
  <c r="AK14" i="9"/>
  <c r="C6" i="19"/>
  <c r="AA6" i="18"/>
  <c r="AK12" i="18"/>
  <c r="B12" i="19"/>
  <c r="Z10" i="18"/>
  <c r="B28" i="10"/>
  <c r="Z22" i="9"/>
  <c r="C18" i="16"/>
  <c r="AA15" i="15"/>
  <c r="AK15" i="15"/>
  <c r="B16" i="22"/>
  <c r="Z13" i="21"/>
  <c r="Z3" i="15"/>
  <c r="B2" i="16"/>
  <c r="AJ11" i="15"/>
  <c r="B30" i="22"/>
  <c r="Z24" i="21"/>
  <c r="AJ18" i="21"/>
  <c r="B4" i="22"/>
  <c r="Z4" i="21"/>
  <c r="AA7" i="9"/>
  <c r="C8" i="10"/>
  <c r="Z10" i="15"/>
  <c r="B12" i="16"/>
  <c r="AA12" i="18"/>
  <c r="C14" i="19"/>
  <c r="AK14" i="18"/>
  <c r="C24" i="19"/>
  <c r="AA19" i="18"/>
  <c r="C12" i="16"/>
  <c r="AA10" i="15"/>
  <c r="AA19" i="9"/>
  <c r="C24" i="10"/>
  <c r="C24" i="16"/>
  <c r="AA19" i="15"/>
  <c r="B32" i="22"/>
  <c r="Z25" i="21"/>
  <c r="Z25" i="6"/>
  <c r="B8" i="22"/>
  <c r="Z7" i="21"/>
  <c r="AA9" i="9"/>
  <c r="C10" i="10"/>
  <c r="AK13" i="9"/>
  <c r="AA13" i="21"/>
  <c r="C16" i="22"/>
  <c r="H27" i="6"/>
  <c r="M29" i="6" s="1"/>
  <c r="M29" i="7" s="1"/>
  <c r="C26" i="7"/>
  <c r="AA21" i="6"/>
  <c r="AK17" i="6"/>
  <c r="C14" i="16"/>
  <c r="AA12" i="15"/>
  <c r="AK14" i="15"/>
  <c r="B16" i="16"/>
  <c r="Z13" i="15"/>
  <c r="B26" i="22"/>
  <c r="Z21" i="21"/>
  <c r="AJ17" i="21"/>
  <c r="C10" i="19"/>
  <c r="AA9" i="18"/>
  <c r="AK13" i="18"/>
  <c r="AA10" i="9"/>
  <c r="C12" i="10"/>
  <c r="B20" i="19"/>
  <c r="Z16" i="18"/>
  <c r="B14" i="10"/>
  <c r="Z12" i="9"/>
  <c r="AJ14" i="9"/>
  <c r="C6" i="16"/>
  <c r="AA6" i="15"/>
  <c r="AK12" i="15"/>
  <c r="AA13" i="9"/>
  <c r="C16" i="10"/>
  <c r="Z4" i="24"/>
  <c r="B4" i="25"/>
  <c r="AA22" i="18"/>
  <c r="C28" i="19"/>
  <c r="B14" i="19"/>
  <c r="Z12" i="18"/>
  <c r="AJ14" i="18"/>
  <c r="AA9" i="24"/>
  <c r="C10" i="25"/>
  <c r="AK13" i="24"/>
  <c r="B2" i="10"/>
  <c r="Z3" i="9"/>
  <c r="AJ11" i="9"/>
  <c r="B22" i="22"/>
  <c r="Z18" i="21"/>
  <c r="AJ16" i="21"/>
  <c r="B28" i="25"/>
  <c r="Z22" i="24"/>
  <c r="C30" i="19"/>
  <c r="AA24" i="18"/>
  <c r="AK18" i="18"/>
  <c r="C26" i="10"/>
  <c r="AA21" i="9"/>
  <c r="AK17" i="9"/>
  <c r="B28" i="16"/>
  <c r="Z22" i="15"/>
  <c r="AA6" i="9"/>
  <c r="C6" i="10"/>
  <c r="AK12" i="9"/>
  <c r="B8" i="19"/>
  <c r="Z7" i="18"/>
  <c r="AA22" i="9"/>
  <c r="C28" i="10"/>
  <c r="B6" i="19"/>
  <c r="Z6" i="18"/>
  <c r="AJ12" i="18"/>
  <c r="B2" i="22"/>
  <c r="Z3" i="21"/>
  <c r="AJ11" i="21"/>
  <c r="AA4" i="18"/>
  <c r="C4" i="19"/>
  <c r="Z18" i="18"/>
  <c r="B22" i="19"/>
  <c r="AJ16" i="18"/>
  <c r="B6" i="22"/>
  <c r="Z6" i="21"/>
  <c r="AJ12" i="21"/>
  <c r="B18" i="22"/>
  <c r="Z15" i="21"/>
  <c r="AJ15" i="21"/>
  <c r="C32" i="19"/>
  <c r="AA25" i="18"/>
  <c r="B20" i="16"/>
  <c r="Z16" i="15"/>
  <c r="Z24" i="15"/>
  <c r="B30" i="16"/>
  <c r="AJ18" i="15"/>
  <c r="C4" i="10"/>
  <c r="AA4" i="9"/>
  <c r="Z21" i="15"/>
  <c r="B26" i="16"/>
  <c r="AJ17" i="15"/>
  <c r="AA7" i="15"/>
  <c r="C8" i="16"/>
  <c r="Z21" i="24"/>
  <c r="B26" i="25"/>
  <c r="AJ17" i="24"/>
  <c r="Z22" i="18"/>
  <c r="B28" i="19"/>
  <c r="B22" i="10"/>
  <c r="Z18" i="9"/>
  <c r="AJ16" i="9"/>
  <c r="Z9" i="18"/>
  <c r="B10" i="19"/>
  <c r="AJ13" i="18"/>
  <c r="B24" i="22"/>
  <c r="Z19" i="21"/>
  <c r="H19" i="6"/>
  <c r="M21" i="6" s="1"/>
  <c r="C18" i="7"/>
  <c r="AA15" i="6"/>
  <c r="AK15" i="6"/>
  <c r="B28" i="22"/>
  <c r="Z22" i="21"/>
  <c r="G27" i="6"/>
  <c r="L29" i="6" s="1"/>
  <c r="Z21" i="6"/>
  <c r="B26" i="7"/>
  <c r="C2" i="10"/>
  <c r="AA3" i="9"/>
  <c r="AK11" i="9"/>
  <c r="B2" i="19"/>
  <c r="Z3" i="18"/>
  <c r="AJ11" i="18"/>
  <c r="AA16" i="9"/>
  <c r="C20" i="10"/>
  <c r="AA4" i="15"/>
  <c r="C4" i="16"/>
  <c r="AA13" i="18"/>
  <c r="C16" i="19"/>
  <c r="G19" i="6"/>
  <c r="L21" i="6" s="1"/>
  <c r="Z15" i="6"/>
  <c r="B18" i="7"/>
  <c r="AJ15" i="6"/>
  <c r="AA21" i="21"/>
  <c r="C26" i="22"/>
  <c r="AK17" i="21"/>
  <c r="B16" i="10"/>
  <c r="Z13" i="9"/>
  <c r="C28" i="22"/>
  <c r="AA22" i="21"/>
  <c r="AA10" i="21"/>
  <c r="C12" i="22"/>
  <c r="C18" i="19"/>
  <c r="AA15" i="18"/>
  <c r="AK15" i="18"/>
  <c r="B4" i="19"/>
  <c r="Z4" i="18"/>
  <c r="AA15" i="21"/>
  <c r="C18" i="22"/>
  <c r="AK15" i="21"/>
  <c r="AA24" i="15"/>
  <c r="C30" i="16"/>
  <c r="AK18" i="15"/>
  <c r="B32" i="16"/>
  <c r="Z25" i="15"/>
  <c r="C26" i="19"/>
  <c r="AA21" i="18"/>
  <c r="AK17" i="18"/>
  <c r="AA18" i="24"/>
  <c r="C22" i="25"/>
  <c r="AK16" i="24"/>
  <c r="AA15" i="24"/>
  <c r="C18" i="25"/>
  <c r="AK15" i="24"/>
  <c r="H11" i="6"/>
  <c r="M13" i="6" s="1"/>
  <c r="AA9" i="6"/>
  <c r="C10" i="7"/>
  <c r="AK18" i="6"/>
  <c r="B4" i="10"/>
  <c r="Z4" i="9"/>
  <c r="B8" i="25"/>
  <c r="Z7" i="24"/>
  <c r="B18" i="10"/>
  <c r="Z15" i="9"/>
  <c r="AJ15" i="9"/>
  <c r="Z15" i="18"/>
  <c r="B18" i="19"/>
  <c r="AJ15" i="18"/>
  <c r="C32" i="10"/>
  <c r="AA25" i="9"/>
  <c r="AA22" i="24"/>
  <c r="C28" i="25"/>
  <c r="B16" i="19"/>
  <c r="Z13" i="18"/>
  <c r="B8" i="10"/>
  <c r="Z7" i="9"/>
  <c r="C12" i="25"/>
  <c r="AA10" i="24"/>
  <c r="AA19" i="21"/>
  <c r="C24" i="22"/>
  <c r="B12" i="25"/>
  <c r="Z10" i="24"/>
  <c r="B30" i="10"/>
  <c r="Z24" i="9"/>
  <c r="AJ18" i="9"/>
  <c r="AE26" i="9" s="1"/>
  <c r="B6" i="10"/>
  <c r="Z6" i="9"/>
  <c r="AJ12" i="9"/>
  <c r="Z7" i="15"/>
  <c r="B8" i="16"/>
  <c r="AA4" i="21"/>
  <c r="C4" i="22"/>
  <c r="C22" i="10"/>
  <c r="AA18" i="9"/>
  <c r="AK16" i="9"/>
  <c r="AJ17" i="6"/>
  <c r="AA7" i="21"/>
  <c r="C8" i="22"/>
  <c r="AA3" i="21"/>
  <c r="C2" i="22"/>
  <c r="AK11" i="21"/>
  <c r="Z6" i="24"/>
  <c r="B6" i="25"/>
  <c r="AJ12" i="24"/>
  <c r="AA24" i="24"/>
  <c r="C30" i="25"/>
  <c r="AK18" i="24"/>
  <c r="B12" i="10"/>
  <c r="Z10" i="9"/>
  <c r="B6" i="16"/>
  <c r="Z6" i="15"/>
  <c r="AJ12" i="15"/>
  <c r="Z21" i="9"/>
  <c r="B26" i="10"/>
  <c r="AJ17" i="9"/>
  <c r="Z9" i="15"/>
  <c r="B10" i="16"/>
  <c r="AJ13" i="15"/>
  <c r="C2" i="19"/>
  <c r="AA3" i="18"/>
  <c r="AK11" i="18"/>
  <c r="AA7" i="18"/>
  <c r="C8" i="19"/>
  <c r="B24" i="10"/>
  <c r="Z19" i="9"/>
  <c r="G3" i="6"/>
  <c r="L5" i="6" s="1"/>
  <c r="Z3" i="6"/>
  <c r="B2" i="7"/>
  <c r="AJ11" i="6"/>
  <c r="Z15" i="15"/>
  <c r="B18" i="16"/>
  <c r="AJ15" i="15"/>
  <c r="AA24" i="21"/>
  <c r="C30" i="22"/>
  <c r="AK18" i="21"/>
  <c r="Z12" i="15"/>
  <c r="B14" i="16"/>
  <c r="AJ14" i="15"/>
  <c r="AA13" i="15"/>
  <c r="C16" i="16"/>
  <c r="AA9" i="15"/>
  <c r="C10" i="16"/>
  <c r="AK13" i="15"/>
  <c r="B26" i="19"/>
  <c r="Z21" i="18"/>
  <c r="AJ17" i="18"/>
  <c r="AA22" i="15"/>
  <c r="C28" i="16"/>
  <c r="B24" i="19"/>
  <c r="Z19" i="18"/>
  <c r="AJ14" i="6"/>
  <c r="Z12" i="6"/>
  <c r="B14" i="7"/>
  <c r="B10" i="22"/>
  <c r="Z9" i="21"/>
  <c r="AJ13" i="21"/>
  <c r="AA18" i="15"/>
  <c r="C22" i="16"/>
  <c r="AK16" i="15"/>
  <c r="C32" i="16"/>
  <c r="AA25" i="15"/>
  <c r="AK13" i="6"/>
  <c r="AA28" i="6"/>
  <c r="H7" i="7"/>
  <c r="Z37" i="6"/>
  <c r="G31" i="7"/>
  <c r="AE12" i="6"/>
  <c r="Q9" i="7"/>
  <c r="AF14" i="2"/>
  <c r="X14" i="2" s="1"/>
  <c r="AF20" i="2"/>
  <c r="X20" i="2" s="1"/>
  <c r="AF12" i="2"/>
  <c r="X12" i="2" s="1"/>
  <c r="AF7" i="2"/>
  <c r="X7" i="2" s="1"/>
  <c r="AF11" i="2"/>
  <c r="X11" i="2" s="1"/>
  <c r="AF17" i="2"/>
  <c r="X17" i="2" s="1"/>
  <c r="AF5" i="2"/>
  <c r="X5" i="2" s="1"/>
  <c r="AF18" i="2"/>
  <c r="X18" i="2" s="1"/>
  <c r="AF16" i="2"/>
  <c r="X16" i="2" s="1"/>
  <c r="AF15" i="2"/>
  <c r="X15" i="2" s="1"/>
  <c r="AF8" i="2"/>
  <c r="X8" i="2" s="1"/>
  <c r="AF9" i="2"/>
  <c r="X9" i="2" s="1"/>
  <c r="AF19" i="2"/>
  <c r="X19" i="2" s="1"/>
  <c r="AF13" i="2"/>
  <c r="X13" i="2" s="1"/>
  <c r="AF21" i="2"/>
  <c r="X21" i="2" s="1"/>
  <c r="AF4" i="2"/>
  <c r="X4" i="2" s="1"/>
  <c r="AE7" i="12" l="1"/>
  <c r="L29" i="13"/>
  <c r="AF7" i="12"/>
  <c r="M29" i="13"/>
  <c r="R25" i="12"/>
  <c r="AF6" i="12"/>
  <c r="M21" i="13"/>
  <c r="AF4" i="12"/>
  <c r="R9" i="12"/>
  <c r="M13" i="13"/>
  <c r="Q25" i="12"/>
  <c r="L21" i="13"/>
  <c r="AE6" i="12"/>
  <c r="L5" i="13"/>
  <c r="AE9" i="12"/>
  <c r="AE22" i="12"/>
  <c r="AE3" i="12"/>
  <c r="AF20" i="12"/>
  <c r="AE21" i="12"/>
  <c r="AF21" i="12"/>
  <c r="AE20" i="12"/>
  <c r="AF22" i="12"/>
  <c r="Z28" i="12"/>
  <c r="G7" i="13"/>
  <c r="Z30" i="12"/>
  <c r="G11" i="13"/>
  <c r="Z36" i="12"/>
  <c r="G27" i="13"/>
  <c r="AA33" i="12"/>
  <c r="H19" i="13"/>
  <c r="AA34" i="12"/>
  <c r="H23" i="13"/>
  <c r="AE24" i="12"/>
  <c r="AF27" i="9"/>
  <c r="Z37" i="12"/>
  <c r="G31" i="13"/>
  <c r="AA36" i="12"/>
  <c r="H27" i="13"/>
  <c r="H15" i="13"/>
  <c r="AA31" i="12"/>
  <c r="AA37" i="12"/>
  <c r="H31" i="13"/>
  <c r="Z33" i="12"/>
  <c r="G19" i="13"/>
  <c r="G3" i="13"/>
  <c r="Z27" i="12"/>
  <c r="AF26" i="12"/>
  <c r="AE25" i="12"/>
  <c r="AF29" i="12"/>
  <c r="AE27" i="12"/>
  <c r="AE31" i="12"/>
  <c r="AF27" i="12"/>
  <c r="AE26" i="12"/>
  <c r="AF30" i="12"/>
  <c r="AE29" i="12"/>
  <c r="AF25" i="12"/>
  <c r="AF28" i="12"/>
  <c r="AF31" i="12"/>
  <c r="AE28" i="12"/>
  <c r="AE30" i="12"/>
  <c r="AA28" i="12"/>
  <c r="H7" i="13"/>
  <c r="AF29" i="9"/>
  <c r="AE28" i="9"/>
  <c r="AF31" i="9"/>
  <c r="AE30" i="9"/>
  <c r="AF26" i="9"/>
  <c r="AE3" i="9"/>
  <c r="L5" i="10"/>
  <c r="Q9" i="9"/>
  <c r="AA36" i="9"/>
  <c r="H27" i="10"/>
  <c r="AF4" i="9"/>
  <c r="M13" i="10"/>
  <c r="AA34" i="9"/>
  <c r="H23" i="10"/>
  <c r="AF24" i="9"/>
  <c r="AE31" i="9"/>
  <c r="H19" i="10"/>
  <c r="AA33" i="9"/>
  <c r="M21" i="9"/>
  <c r="L13" i="10"/>
  <c r="AE4" i="9"/>
  <c r="H7" i="10"/>
  <c r="AA28" i="9"/>
  <c r="AE25" i="9"/>
  <c r="Z28" i="9"/>
  <c r="G7" i="10"/>
  <c r="Z31" i="9"/>
  <c r="G15" i="10"/>
  <c r="AF28" i="9"/>
  <c r="AF25" i="9"/>
  <c r="R9" i="9"/>
  <c r="AF3" i="9"/>
  <c r="M5" i="10"/>
  <c r="Z34" i="9"/>
  <c r="G23" i="10"/>
  <c r="AE24" i="9"/>
  <c r="AF30" i="9"/>
  <c r="R25" i="9"/>
  <c r="AF7" i="9"/>
  <c r="M29" i="10"/>
  <c r="AE6" i="9"/>
  <c r="L21" i="10"/>
  <c r="H15" i="10"/>
  <c r="AA31" i="9"/>
  <c r="L29" i="9"/>
  <c r="AF22" i="9" s="1"/>
  <c r="Z37" i="9"/>
  <c r="G31" i="10"/>
  <c r="Z36" i="9"/>
  <c r="G27" i="10"/>
  <c r="AE27" i="9"/>
  <c r="H23" i="7"/>
  <c r="G23" i="7"/>
  <c r="AA37" i="6"/>
  <c r="AF7" i="6"/>
  <c r="G7" i="7"/>
  <c r="H15" i="7"/>
  <c r="L5" i="7"/>
  <c r="AF22" i="6"/>
  <c r="AE3" i="6"/>
  <c r="AE22" i="6"/>
  <c r="AE23" i="6"/>
  <c r="AE20" i="6"/>
  <c r="AF23" i="6"/>
  <c r="AE7" i="6"/>
  <c r="L29" i="7"/>
  <c r="AF21" i="6"/>
  <c r="AE6" i="6"/>
  <c r="L21" i="7"/>
  <c r="Q25" i="6"/>
  <c r="M5" i="7"/>
  <c r="AF3" i="6"/>
  <c r="AE21" i="6"/>
  <c r="AF20" i="6"/>
  <c r="M13" i="7"/>
  <c r="AF4" i="6"/>
  <c r="R9" i="6"/>
  <c r="R25" i="6"/>
  <c r="M21" i="7"/>
  <c r="AF6" i="6"/>
  <c r="AE9" i="6"/>
  <c r="Q31" i="6" s="1"/>
  <c r="Q31" i="7" s="1"/>
  <c r="G15" i="7"/>
  <c r="Z31" i="6"/>
  <c r="AF28" i="6"/>
  <c r="AF24" i="6"/>
  <c r="AF31" i="6"/>
  <c r="AE25" i="6"/>
  <c r="AE29" i="6"/>
  <c r="AF29" i="6"/>
  <c r="AF30" i="6"/>
  <c r="AF27" i="6"/>
  <c r="AE31" i="6"/>
  <c r="AE28" i="6"/>
  <c r="AE30" i="6"/>
  <c r="AF26" i="6"/>
  <c r="AE26" i="6"/>
  <c r="AF25" i="6"/>
  <c r="AA30" i="6"/>
  <c r="H11" i="7"/>
  <c r="AA33" i="6"/>
  <c r="H19" i="7"/>
  <c r="AA36" i="6"/>
  <c r="H27" i="7"/>
  <c r="G3" i="7"/>
  <c r="Z27" i="6"/>
  <c r="AE27" i="6"/>
  <c r="AE24" i="6"/>
  <c r="G27" i="7"/>
  <c r="Z36" i="6"/>
  <c r="G19" i="7"/>
  <c r="Z33" i="6"/>
  <c r="H3" i="7"/>
  <c r="AA27" i="6"/>
  <c r="AF40" i="3"/>
  <c r="AF38" i="3"/>
  <c r="AF36" i="3"/>
  <c r="AF34" i="3"/>
  <c r="AG32" i="3"/>
  <c r="AG36" i="3"/>
  <c r="AG40" i="3"/>
  <c r="AE36" i="3"/>
  <c r="AG33" i="3"/>
  <c r="AF32" i="3"/>
  <c r="AE33" i="3"/>
  <c r="AE40" i="3"/>
  <c r="AE38" i="3"/>
  <c r="AE34" i="3"/>
  <c r="AG37" i="3"/>
  <c r="AG35" i="3"/>
  <c r="AF39" i="3"/>
  <c r="AF37" i="3"/>
  <c r="AF35" i="3"/>
  <c r="AF33" i="3"/>
  <c r="AG34" i="3"/>
  <c r="AG38" i="3"/>
  <c r="AE32" i="3"/>
  <c r="AE39" i="3"/>
  <c r="AE37" i="3"/>
  <c r="AE35" i="3"/>
  <c r="AG39" i="3"/>
  <c r="Q31" i="12" l="1"/>
  <c r="Q31" i="13" s="1"/>
  <c r="AE19" i="12"/>
  <c r="AF10" i="12"/>
  <c r="W17" i="12"/>
  <c r="AF13" i="12"/>
  <c r="R25" i="13"/>
  <c r="V17" i="12"/>
  <c r="AE13" i="12"/>
  <c r="Q25" i="13"/>
  <c r="AE10" i="12"/>
  <c r="AF12" i="12"/>
  <c r="R9" i="13"/>
  <c r="AF9" i="12"/>
  <c r="AE23" i="9"/>
  <c r="AE20" i="9"/>
  <c r="AE22" i="9"/>
  <c r="AF10" i="9"/>
  <c r="M21" i="10"/>
  <c r="AF6" i="9"/>
  <c r="AF21" i="9"/>
  <c r="AE21" i="9"/>
  <c r="V17" i="9"/>
  <c r="AE12" i="9"/>
  <c r="Q9" i="10"/>
  <c r="AF9" i="9"/>
  <c r="W17" i="9"/>
  <c r="AF12" i="9"/>
  <c r="R9" i="10"/>
  <c r="Q25" i="9"/>
  <c r="AE7" i="9"/>
  <c r="L29" i="10"/>
  <c r="R25" i="10"/>
  <c r="AF13" i="9"/>
  <c r="AF20" i="9"/>
  <c r="AF23" i="9"/>
  <c r="AE9" i="9"/>
  <c r="AE18" i="6"/>
  <c r="V32" i="6" s="1"/>
  <c r="V32" i="7" s="1"/>
  <c r="AF12" i="6"/>
  <c r="R9" i="7"/>
  <c r="AF9" i="6"/>
  <c r="AF10" i="6"/>
  <c r="W17" i="6"/>
  <c r="AF13" i="6"/>
  <c r="R25" i="7"/>
  <c r="AE10" i="6"/>
  <c r="V17" i="6"/>
  <c r="AE13" i="6"/>
  <c r="Q25" i="7"/>
  <c r="V17" i="13" l="1"/>
  <c r="AE16" i="12"/>
  <c r="AE17" i="12"/>
  <c r="R31" i="12"/>
  <c r="R31" i="13" s="1"/>
  <c r="AF19" i="12"/>
  <c r="W17" i="13"/>
  <c r="AF17" i="12"/>
  <c r="AF16" i="12"/>
  <c r="R33" i="12"/>
  <c r="R33" i="13" s="1"/>
  <c r="AF18" i="12"/>
  <c r="W32" i="12" s="1"/>
  <c r="W32" i="13" s="1"/>
  <c r="Q33" i="12"/>
  <c r="Q33" i="13" s="1"/>
  <c r="AE18" i="12"/>
  <c r="V32" i="12" s="1"/>
  <c r="V32" i="13" s="1"/>
  <c r="W17" i="10"/>
  <c r="AF17" i="9"/>
  <c r="AF16" i="9"/>
  <c r="R33" i="9"/>
  <c r="R33" i="10" s="1"/>
  <c r="AF18" i="9"/>
  <c r="W32" i="9" s="1"/>
  <c r="W32" i="10" s="1"/>
  <c r="V17" i="10"/>
  <c r="AE16" i="9"/>
  <c r="AE17" i="9"/>
  <c r="R31" i="9"/>
  <c r="R31" i="10" s="1"/>
  <c r="AF19" i="9"/>
  <c r="AE13" i="9"/>
  <c r="Q25" i="10"/>
  <c r="AE10" i="9"/>
  <c r="Q31" i="9"/>
  <c r="Q31" i="10" s="1"/>
  <c r="AE19" i="9"/>
  <c r="AE19" i="6"/>
  <c r="Q33" i="6"/>
  <c r="Q33" i="7" s="1"/>
  <c r="R33" i="6"/>
  <c r="R33" i="7" s="1"/>
  <c r="AF19" i="6"/>
  <c r="AF18" i="6"/>
  <c r="W32" i="6" s="1"/>
  <c r="W32" i="7" s="1"/>
  <c r="R31" i="6"/>
  <c r="R31" i="7" s="1"/>
  <c r="AE16" i="6"/>
  <c r="V17" i="7"/>
  <c r="AE17" i="6"/>
  <c r="W17" i="7"/>
  <c r="AF17" i="6"/>
  <c r="AF16" i="6"/>
  <c r="AJ13" i="2"/>
  <c r="B32" i="3" s="1"/>
  <c r="B32" i="4" s="1"/>
  <c r="AJ4" i="2"/>
  <c r="AN15" i="2" s="1"/>
  <c r="AK10" i="2"/>
  <c r="AO6" i="2" s="1"/>
  <c r="AK9" i="2"/>
  <c r="C22" i="3" s="1"/>
  <c r="C22" i="4" s="1"/>
  <c r="AJ14" i="2"/>
  <c r="AN13" i="2" s="1"/>
  <c r="AJ11" i="2"/>
  <c r="AN7" i="2" s="1"/>
  <c r="AJ16" i="2"/>
  <c r="AN22" i="2" s="1"/>
  <c r="AJ7" i="2"/>
  <c r="AN12" i="2" s="1"/>
  <c r="AJ5" i="2"/>
  <c r="AN21" i="2" s="1"/>
  <c r="AK11" i="2"/>
  <c r="AO7" i="2" s="1"/>
  <c r="AK16" i="2"/>
  <c r="AO22" i="2" s="1"/>
  <c r="AJ18" i="2"/>
  <c r="B4" i="3" s="1"/>
  <c r="B4" i="4" s="1"/>
  <c r="AK15" i="2"/>
  <c r="C12" i="3" s="1"/>
  <c r="C12" i="4" s="1"/>
  <c r="AK4" i="2"/>
  <c r="AO15" i="2" s="1"/>
  <c r="AK5" i="2"/>
  <c r="C26" i="3" s="1"/>
  <c r="C26" i="4" s="1"/>
  <c r="AJ6" i="2"/>
  <c r="AN9" i="2" s="1"/>
  <c r="AK13" i="2"/>
  <c r="AO25" i="2" s="1"/>
  <c r="AJ15" i="2"/>
  <c r="B12" i="3" s="1"/>
  <c r="B12" i="4" s="1"/>
  <c r="AJ12" i="2"/>
  <c r="AN19" i="2" s="1"/>
  <c r="AK14" i="2"/>
  <c r="C16" i="3" s="1"/>
  <c r="C16" i="4" s="1"/>
  <c r="AK12" i="2"/>
  <c r="AO19" i="2" s="1"/>
  <c r="AK6" i="2"/>
  <c r="C10" i="3" s="1"/>
  <c r="C10" i="4" s="1"/>
  <c r="AK8" i="2"/>
  <c r="AO24" i="2" s="1"/>
  <c r="AK7" i="2"/>
  <c r="C14" i="3" s="1"/>
  <c r="C14" i="4" s="1"/>
  <c r="AJ9" i="2"/>
  <c r="AN18" i="2" s="1"/>
  <c r="AK18" i="2"/>
  <c r="AO4" i="2" s="1"/>
  <c r="AJ10" i="2"/>
  <c r="B6" i="3" s="1"/>
  <c r="B6" i="4" s="1"/>
  <c r="AJ8" i="2"/>
  <c r="AN24" i="2" s="1"/>
  <c r="AJ17" i="2"/>
  <c r="AN16" i="2" s="1"/>
  <c r="AK17" i="2"/>
  <c r="AO16" i="2" s="1"/>
  <c r="AK3" i="2"/>
  <c r="AO3" i="2" s="1"/>
  <c r="AJ3" i="2"/>
  <c r="AN3" i="2" s="1"/>
  <c r="H14" i="26" l="1"/>
  <c r="H22" i="26"/>
  <c r="H5" i="26"/>
  <c r="H27" i="26"/>
  <c r="H10" i="26"/>
  <c r="H8" i="26"/>
  <c r="H33" i="26"/>
  <c r="H9" i="26"/>
  <c r="H37" i="26"/>
  <c r="H32" i="26"/>
  <c r="H15" i="26"/>
  <c r="H30" i="26"/>
  <c r="H19" i="26"/>
  <c r="H11" i="26"/>
  <c r="H28" i="26"/>
  <c r="H6" i="26"/>
  <c r="H31" i="26"/>
  <c r="H3" i="26"/>
  <c r="H36" i="26"/>
  <c r="H34" i="26"/>
  <c r="H35" i="26"/>
  <c r="H21" i="26"/>
  <c r="H13" i="26"/>
  <c r="H2" i="26"/>
  <c r="H39" i="26"/>
  <c r="H17" i="26"/>
  <c r="H18" i="26"/>
  <c r="H24" i="26"/>
  <c r="H4" i="26"/>
  <c r="H38" i="26"/>
  <c r="H25" i="26"/>
  <c r="H12" i="26"/>
  <c r="H23" i="26"/>
  <c r="H7" i="26"/>
  <c r="H26" i="26"/>
  <c r="H20" i="26"/>
  <c r="H16" i="26"/>
  <c r="H29" i="26"/>
  <c r="G11" i="26"/>
  <c r="G9" i="26"/>
  <c r="Q33" i="9"/>
  <c r="Q33" i="10" s="1"/>
  <c r="AE18" i="9"/>
  <c r="V32" i="9" s="1"/>
  <c r="V32" i="10" s="1"/>
  <c r="F12" i="26"/>
  <c r="F8" i="26"/>
  <c r="F39" i="26"/>
  <c r="F17" i="26"/>
  <c r="F38" i="26"/>
  <c r="F20" i="26"/>
  <c r="F7" i="26"/>
  <c r="F22" i="26"/>
  <c r="F28" i="26"/>
  <c r="F24" i="26"/>
  <c r="F14" i="26"/>
  <c r="F34" i="26"/>
  <c r="F33" i="26"/>
  <c r="F3" i="26"/>
  <c r="F36" i="26"/>
  <c r="F16" i="26"/>
  <c r="F27" i="26"/>
  <c r="F23" i="26"/>
  <c r="F2" i="26"/>
  <c r="F21" i="26"/>
  <c r="F35" i="26"/>
  <c r="F26" i="26"/>
  <c r="F6" i="26"/>
  <c r="F30" i="26"/>
  <c r="F29" i="26"/>
  <c r="F25" i="26"/>
  <c r="F11" i="26"/>
  <c r="F9" i="26"/>
  <c r="F13" i="26"/>
  <c r="F18" i="26"/>
  <c r="F37" i="26"/>
  <c r="F4" i="26"/>
  <c r="F10" i="26"/>
  <c r="F5" i="26"/>
  <c r="F32" i="26"/>
  <c r="F15" i="26"/>
  <c r="F31" i="26"/>
  <c r="F19" i="26"/>
  <c r="C8" i="3"/>
  <c r="AA7" i="3" s="1"/>
  <c r="B28" i="3"/>
  <c r="Z22" i="3" s="1"/>
  <c r="C32" i="3"/>
  <c r="C32" i="4" s="1"/>
  <c r="C18" i="3"/>
  <c r="C18" i="4" s="1"/>
  <c r="B8" i="3"/>
  <c r="G7" i="3" s="1"/>
  <c r="AN6" i="2"/>
  <c r="B22" i="3"/>
  <c r="B20" i="3"/>
  <c r="C2" i="3"/>
  <c r="AO12" i="2"/>
  <c r="C24" i="3"/>
  <c r="C24" i="4" s="1"/>
  <c r="B24" i="3"/>
  <c r="B2" i="3"/>
  <c r="AJ6" i="3" s="1"/>
  <c r="C20" i="3"/>
  <c r="B30" i="3"/>
  <c r="AJ18" i="3" s="1"/>
  <c r="C4" i="3"/>
  <c r="C4" i="4" s="1"/>
  <c r="C30" i="3"/>
  <c r="B14" i="3"/>
  <c r="AO18" i="2"/>
  <c r="AN25" i="2"/>
  <c r="H11" i="3"/>
  <c r="AA9" i="3"/>
  <c r="AK7" i="3"/>
  <c r="AK14" i="3"/>
  <c r="AA13" i="3"/>
  <c r="AA21" i="3"/>
  <c r="AA10" i="3"/>
  <c r="AK13" i="3"/>
  <c r="AJ12" i="3"/>
  <c r="Z6" i="3"/>
  <c r="H15" i="3"/>
  <c r="H15" i="4" s="1"/>
  <c r="AA12" i="3"/>
  <c r="Z4" i="3"/>
  <c r="Z10" i="3"/>
  <c r="AA18" i="3"/>
  <c r="Z25" i="3"/>
  <c r="AO9" i="2"/>
  <c r="AN10" i="2"/>
  <c r="AO21" i="2"/>
  <c r="AN4" i="2"/>
  <c r="C28" i="3"/>
  <c r="C28" i="4" s="1"/>
  <c r="B26" i="3"/>
  <c r="B26" i="4" s="1"/>
  <c r="B18" i="3"/>
  <c r="B18" i="4" s="1"/>
  <c r="B10" i="3"/>
  <c r="H23" i="3"/>
  <c r="AO13" i="2"/>
  <c r="AO10" i="2"/>
  <c r="B16" i="3"/>
  <c r="B16" i="4" s="1"/>
  <c r="C6" i="3"/>
  <c r="C6" i="4" s="1"/>
  <c r="G17" i="26" l="1"/>
  <c r="G26" i="26"/>
  <c r="G20" i="26"/>
  <c r="G36" i="26"/>
  <c r="G6" i="26"/>
  <c r="G34" i="26"/>
  <c r="G25" i="26"/>
  <c r="G22" i="26"/>
  <c r="G38" i="26"/>
  <c r="G33" i="26"/>
  <c r="G13" i="26"/>
  <c r="G3" i="26"/>
  <c r="G32" i="26"/>
  <c r="G29" i="26"/>
  <c r="G21" i="26"/>
  <c r="G18" i="26"/>
  <c r="G15" i="26"/>
  <c r="G31" i="26"/>
  <c r="G5" i="26"/>
  <c r="G12" i="26"/>
  <c r="G4" i="26"/>
  <c r="G2" i="26"/>
  <c r="G8" i="26"/>
  <c r="G16" i="26"/>
  <c r="G27" i="26"/>
  <c r="G10" i="26"/>
  <c r="G39" i="26"/>
  <c r="G14" i="26"/>
  <c r="G30" i="26"/>
  <c r="G7" i="26"/>
  <c r="G35" i="26"/>
  <c r="G28" i="26"/>
  <c r="G24" i="26"/>
  <c r="G23" i="26"/>
  <c r="G37" i="26"/>
  <c r="G19" i="26"/>
  <c r="AK16" i="3"/>
  <c r="G27" i="3"/>
  <c r="Z36" i="3" s="1"/>
  <c r="G19" i="3"/>
  <c r="G19" i="4" s="1"/>
  <c r="AK17" i="3"/>
  <c r="H7" i="3"/>
  <c r="H7" i="4" s="1"/>
  <c r="Z16" i="3"/>
  <c r="B20" i="4"/>
  <c r="Z12" i="3"/>
  <c r="B14" i="4"/>
  <c r="Z24" i="3"/>
  <c r="B30" i="4"/>
  <c r="AJ16" i="3"/>
  <c r="B22" i="4"/>
  <c r="AA25" i="3"/>
  <c r="AA16" i="3"/>
  <c r="C20" i="4"/>
  <c r="AJ9" i="3"/>
  <c r="B28" i="4"/>
  <c r="Z19" i="3"/>
  <c r="B24" i="4"/>
  <c r="AJ13" i="3"/>
  <c r="B10" i="4"/>
  <c r="AA24" i="3"/>
  <c r="C30" i="4"/>
  <c r="Z3" i="3"/>
  <c r="B2" i="4"/>
  <c r="AA3" i="3"/>
  <c r="C2" i="4"/>
  <c r="Z7" i="3"/>
  <c r="B8" i="4"/>
  <c r="AK6" i="3"/>
  <c r="C8" i="4"/>
  <c r="AA34" i="3"/>
  <c r="H23" i="4"/>
  <c r="AA30" i="3"/>
  <c r="H11" i="4"/>
  <c r="Z28" i="3"/>
  <c r="G7" i="4"/>
  <c r="AJ11" i="3"/>
  <c r="AK18" i="3"/>
  <c r="AK15" i="3"/>
  <c r="AA15" i="3"/>
  <c r="Z18" i="3"/>
  <c r="G23" i="3"/>
  <c r="AJ8" i="3"/>
  <c r="H3" i="3"/>
  <c r="G3" i="3"/>
  <c r="H31" i="3"/>
  <c r="H31" i="4" s="1"/>
  <c r="G31" i="3"/>
  <c r="G15" i="3"/>
  <c r="AA19" i="3"/>
  <c r="AK8" i="3"/>
  <c r="H19" i="3"/>
  <c r="M21" i="3" s="1"/>
  <c r="M21" i="4" s="1"/>
  <c r="AK11" i="3"/>
  <c r="AA4" i="3"/>
  <c r="Z9" i="3"/>
  <c r="G11" i="3"/>
  <c r="L13" i="3" s="1"/>
  <c r="AJ7" i="3"/>
  <c r="H27" i="3"/>
  <c r="M29" i="3" s="1"/>
  <c r="AA22" i="3"/>
  <c r="AK9" i="3"/>
  <c r="AA31" i="3"/>
  <c r="M13" i="3"/>
  <c r="AJ15" i="3"/>
  <c r="Z15" i="3"/>
  <c r="AK12" i="3"/>
  <c r="AA6" i="3"/>
  <c r="AJ17" i="3"/>
  <c r="Z21" i="3"/>
  <c r="AJ14" i="3"/>
  <c r="Z13" i="3"/>
  <c r="L21" i="3" l="1"/>
  <c r="L21" i="4" s="1"/>
  <c r="Z33" i="3"/>
  <c r="G27" i="4"/>
  <c r="AA28" i="3"/>
  <c r="AA37" i="3"/>
  <c r="Z37" i="3"/>
  <c r="G31" i="4"/>
  <c r="AA36" i="3"/>
  <c r="H27" i="4"/>
  <c r="AF7" i="3"/>
  <c r="M29" i="4"/>
  <c r="Z34" i="3"/>
  <c r="G23" i="4"/>
  <c r="AA33" i="3"/>
  <c r="H19" i="4"/>
  <c r="Z31" i="3"/>
  <c r="G15" i="4"/>
  <c r="AE4" i="3"/>
  <c r="L13" i="4"/>
  <c r="AF4" i="3"/>
  <c r="M13" i="4"/>
  <c r="Z30" i="3"/>
  <c r="G11" i="4"/>
  <c r="M5" i="3"/>
  <c r="M5" i="4" s="1"/>
  <c r="H3" i="4"/>
  <c r="AA27" i="3"/>
  <c r="Z27" i="3"/>
  <c r="G3" i="4"/>
  <c r="AF28" i="3"/>
  <c r="AE29" i="3"/>
  <c r="L5" i="3"/>
  <c r="L5" i="4" s="1"/>
  <c r="L29" i="3"/>
  <c r="AF25" i="3"/>
  <c r="AF30" i="3"/>
  <c r="AF27" i="3"/>
  <c r="AE27" i="3"/>
  <c r="AE28" i="3"/>
  <c r="AF29" i="3"/>
  <c r="AE31" i="3"/>
  <c r="AF24" i="3"/>
  <c r="AF26" i="3"/>
  <c r="AE25" i="3"/>
  <c r="AE26" i="3"/>
  <c r="AE24" i="3"/>
  <c r="AF31" i="3"/>
  <c r="AE30" i="3"/>
  <c r="Q9" i="3"/>
  <c r="R25" i="3"/>
  <c r="AF10" i="3" s="1"/>
  <c r="AF6" i="3"/>
  <c r="AE6" i="3" l="1"/>
  <c r="Q25" i="3"/>
  <c r="AE10" i="3" s="1"/>
  <c r="Q33" i="3" s="1"/>
  <c r="Q33" i="4" s="1"/>
  <c r="R9" i="3"/>
  <c r="R9" i="4" s="1"/>
  <c r="Q9" i="4"/>
  <c r="AE9" i="3"/>
  <c r="Q31" i="3" s="1"/>
  <c r="Q31" i="4" s="1"/>
  <c r="AF3" i="3"/>
  <c r="AE7" i="3"/>
  <c r="L29" i="4"/>
  <c r="AF13" i="3"/>
  <c r="R25" i="4"/>
  <c r="AE3" i="3"/>
  <c r="AE21" i="3"/>
  <c r="AE23" i="3"/>
  <c r="AF23" i="3"/>
  <c r="AE22" i="3"/>
  <c r="AF22" i="3"/>
  <c r="AF21" i="3"/>
  <c r="AF20" i="3"/>
  <c r="AE20" i="3"/>
  <c r="R33" i="3"/>
  <c r="R33" i="4" s="1"/>
  <c r="V17" i="3"/>
  <c r="V17" i="4" s="1"/>
  <c r="AE12" i="3"/>
  <c r="Q25" i="4" l="1"/>
  <c r="AE13" i="3"/>
  <c r="AF12" i="3"/>
  <c r="W17" i="3"/>
  <c r="W17" i="4" s="1"/>
  <c r="AF9" i="3"/>
  <c r="R31" i="3" s="1"/>
  <c r="R31" i="4" s="1"/>
  <c r="AE18" i="3"/>
  <c r="V32" i="3" s="1"/>
  <c r="V32" i="4" s="1"/>
  <c r="AE19" i="3"/>
  <c r="AE17" i="3"/>
  <c r="AE16" i="3"/>
  <c r="AF16" i="3" l="1"/>
  <c r="AF17" i="3"/>
  <c r="AF19" i="3"/>
  <c r="E2" i="26"/>
  <c r="O2" i="26" s="1"/>
  <c r="AF18" i="3"/>
  <c r="W32" i="3" s="1"/>
  <c r="W32" i="4" s="1"/>
  <c r="E39" i="26"/>
  <c r="O39" i="26" s="1"/>
  <c r="E35" i="26"/>
  <c r="O35" i="26" s="1"/>
  <c r="E31" i="26"/>
  <c r="O31" i="26" s="1"/>
  <c r="E27" i="26"/>
  <c r="O27" i="26" s="1"/>
  <c r="E23" i="26"/>
  <c r="O23" i="26" s="1"/>
  <c r="E19" i="26"/>
  <c r="O19" i="26" s="1"/>
  <c r="E15" i="26"/>
  <c r="O15" i="26" s="1"/>
  <c r="E11" i="26"/>
  <c r="O11" i="26" s="1"/>
  <c r="E7" i="26"/>
  <c r="O7" i="26" s="1"/>
  <c r="E3" i="26"/>
  <c r="O3" i="26" s="1"/>
  <c r="E34" i="26"/>
  <c r="O34" i="26" s="1"/>
  <c r="E30" i="26"/>
  <c r="O30" i="26" s="1"/>
  <c r="E26" i="26"/>
  <c r="O26" i="26" s="1"/>
  <c r="E22" i="26"/>
  <c r="O22" i="26" s="1"/>
  <c r="E18" i="26"/>
  <c r="O18" i="26" s="1"/>
  <c r="E14" i="26"/>
  <c r="O14" i="26" s="1"/>
  <c r="E10" i="26"/>
  <c r="O10" i="26" s="1"/>
  <c r="E6" i="26"/>
  <c r="O6" i="26" s="1"/>
  <c r="E37" i="26"/>
  <c r="O37" i="26" s="1"/>
  <c r="E33" i="26"/>
  <c r="O33" i="26" s="1"/>
  <c r="E29" i="26"/>
  <c r="O29" i="26" s="1"/>
  <c r="E25" i="26"/>
  <c r="O25" i="26" s="1"/>
  <c r="E21" i="26"/>
  <c r="O21" i="26" s="1"/>
  <c r="E17" i="26"/>
  <c r="O17" i="26" s="1"/>
  <c r="E13" i="26"/>
  <c r="O13" i="26" s="1"/>
  <c r="E9" i="26"/>
  <c r="O9" i="26" s="1"/>
  <c r="E5" i="26"/>
  <c r="O5" i="26" s="1"/>
  <c r="E32" i="26"/>
  <c r="O32" i="26" s="1"/>
  <c r="E28" i="26"/>
  <c r="O28" i="26" s="1"/>
  <c r="E20" i="26"/>
  <c r="O20" i="26" s="1"/>
  <c r="E16" i="26"/>
  <c r="O16" i="26" s="1"/>
  <c r="E8" i="26"/>
  <c r="O8" i="26" s="1"/>
  <c r="E38" i="26"/>
  <c r="O38" i="26" s="1"/>
  <c r="E36" i="26"/>
  <c r="O36" i="26" s="1"/>
  <c r="E24" i="26"/>
  <c r="O24" i="26" s="1"/>
  <c r="E12" i="26"/>
  <c r="O12" i="26" s="1"/>
  <c r="E4" i="26"/>
  <c r="O4" i="26" s="1"/>
  <c r="M2" i="26" l="1"/>
  <c r="N2" i="26" s="1"/>
  <c r="M38" i="26"/>
  <c r="N38" i="26" s="1"/>
  <c r="M13" i="26"/>
  <c r="N13" i="26" s="1"/>
  <c r="M26" i="26"/>
  <c r="N26" i="26" s="1"/>
  <c r="M23" i="26"/>
  <c r="N23" i="26" s="1"/>
  <c r="M12" i="26"/>
  <c r="N12" i="26" s="1"/>
  <c r="M8" i="26"/>
  <c r="N8" i="26" s="1"/>
  <c r="M17" i="26"/>
  <c r="N17" i="26" s="1"/>
  <c r="M30" i="26"/>
  <c r="N30" i="26" s="1"/>
  <c r="M27" i="26"/>
  <c r="N27" i="26" s="1"/>
  <c r="M24" i="26"/>
  <c r="N24" i="26" s="1"/>
  <c r="M5" i="26"/>
  <c r="N5" i="26" s="1"/>
  <c r="M21" i="26"/>
  <c r="N21" i="26" s="1"/>
  <c r="M37" i="26"/>
  <c r="N37" i="26" s="1"/>
  <c r="M18" i="26"/>
  <c r="Q18" i="26"/>
  <c r="M34" i="26"/>
  <c r="N34" i="26" s="1"/>
  <c r="M15" i="26"/>
  <c r="N15" i="26" s="1"/>
  <c r="Q15" i="26"/>
  <c r="M31" i="26"/>
  <c r="N31" i="26" s="1"/>
  <c r="M4" i="26"/>
  <c r="N4" i="26" s="1"/>
  <c r="M28" i="26"/>
  <c r="N28" i="26" s="1"/>
  <c r="M29" i="26"/>
  <c r="N29" i="26" s="1"/>
  <c r="M10" i="26"/>
  <c r="N10" i="26" s="1"/>
  <c r="M7" i="26"/>
  <c r="N7" i="26" s="1"/>
  <c r="M39" i="26"/>
  <c r="N39" i="26" s="1"/>
  <c r="M32" i="26"/>
  <c r="N32" i="26" s="1"/>
  <c r="M33" i="26"/>
  <c r="N33" i="26" s="1"/>
  <c r="M14" i="26"/>
  <c r="N14" i="26" s="1"/>
  <c r="M11" i="26"/>
  <c r="N11" i="26" s="1"/>
  <c r="M16" i="26"/>
  <c r="N16" i="26" s="1"/>
  <c r="M36" i="26"/>
  <c r="N36" i="26" s="1"/>
  <c r="M20" i="26"/>
  <c r="N20" i="26" s="1"/>
  <c r="M9" i="26"/>
  <c r="N9" i="26" s="1"/>
  <c r="M25" i="26"/>
  <c r="N25" i="26" s="1"/>
  <c r="M6" i="26"/>
  <c r="N6" i="26" s="1"/>
  <c r="M22" i="26"/>
  <c r="N22" i="26" s="1"/>
  <c r="M3" i="26"/>
  <c r="N3" i="26" s="1"/>
  <c r="M19" i="26"/>
  <c r="N19" i="26" s="1"/>
  <c r="M35" i="26"/>
  <c r="N35" i="26" s="1"/>
  <c r="Q21" i="26" l="1"/>
  <c r="Q30" i="26"/>
  <c r="Q13" i="26"/>
  <c r="Q33" i="26"/>
  <c r="Q3" i="26"/>
  <c r="Q9" i="26"/>
  <c r="Q11" i="26"/>
  <c r="Q39" i="26"/>
  <c r="Q28" i="26"/>
  <c r="Q2" i="26"/>
  <c r="Q31" i="26"/>
  <c r="Q34" i="26"/>
  <c r="Q37" i="26"/>
  <c r="Q5" i="26"/>
  <c r="Q27" i="26"/>
  <c r="Q17" i="26"/>
  <c r="Q12" i="26"/>
  <c r="Q26" i="26"/>
  <c r="Q38" i="26"/>
  <c r="Q24" i="26"/>
  <c r="Q8" i="26"/>
  <c r="Q23" i="26"/>
  <c r="Q35" i="26"/>
  <c r="Q6" i="26"/>
  <c r="Q36" i="26"/>
  <c r="Q10" i="26"/>
  <c r="N18" i="26"/>
  <c r="Q19" i="26"/>
  <c r="Q22" i="26"/>
  <c r="Q25" i="26"/>
  <c r="Q20" i="26"/>
  <c r="Q16" i="26"/>
  <c r="Q14" i="26"/>
  <c r="Q32" i="26"/>
  <c r="Q7" i="26"/>
  <c r="Q29" i="26"/>
  <c r="Q4" i="26"/>
  <c r="P24" i="26" l="1"/>
  <c r="R24" i="26" s="1"/>
  <c r="P20" i="26"/>
  <c r="R20" i="26" s="1"/>
  <c r="P28" i="26"/>
  <c r="R28" i="26" s="1"/>
  <c r="P15" i="26"/>
  <c r="R15" i="26" s="1"/>
  <c r="P33" i="26"/>
  <c r="R33" i="26" s="1"/>
  <c r="P37" i="26"/>
  <c r="R37" i="26" s="1"/>
  <c r="P22" i="26"/>
  <c r="R22" i="26" s="1"/>
  <c r="P26" i="26"/>
  <c r="R26" i="26" s="1"/>
  <c r="P12" i="26"/>
  <c r="R12" i="26" s="1"/>
  <c r="P27" i="26"/>
  <c r="R27" i="26" s="1"/>
  <c r="P6" i="26"/>
  <c r="R6" i="26" s="1"/>
  <c r="P13" i="26"/>
  <c r="R13" i="26" s="1"/>
  <c r="P23" i="26"/>
  <c r="R23" i="26" s="1"/>
  <c r="P31" i="26"/>
  <c r="R31" i="26" s="1"/>
  <c r="P8" i="26"/>
  <c r="R8" i="26" s="1"/>
  <c r="P7" i="26"/>
  <c r="R7" i="26" s="1"/>
  <c r="P3" i="26"/>
  <c r="R3" i="26" s="1"/>
  <c r="P39" i="26"/>
  <c r="R39" i="26" s="1"/>
  <c r="P4" i="26"/>
  <c r="R4" i="26" s="1"/>
  <c r="P21" i="26"/>
  <c r="R21" i="26" s="1"/>
  <c r="P10" i="26"/>
  <c r="R10" i="26" s="1"/>
  <c r="P30" i="26"/>
  <c r="R30" i="26" s="1"/>
  <c r="P14" i="26"/>
  <c r="R14" i="26" s="1"/>
  <c r="P16" i="26"/>
  <c r="R16" i="26" s="1"/>
  <c r="P5" i="26"/>
  <c r="R5" i="26" s="1"/>
  <c r="P17" i="26"/>
  <c r="R17" i="26" s="1"/>
  <c r="P29" i="26"/>
  <c r="R29" i="26" s="1"/>
  <c r="P9" i="26"/>
  <c r="R9" i="26" s="1"/>
  <c r="P18" i="26"/>
  <c r="R18" i="26" s="1"/>
  <c r="P35" i="26"/>
  <c r="R35" i="26" s="1"/>
  <c r="P32" i="26"/>
  <c r="R32" i="26" s="1"/>
  <c r="P2" i="26"/>
  <c r="R2" i="26" s="1"/>
  <c r="P11" i="26"/>
  <c r="R11" i="26" s="1"/>
  <c r="P36" i="26"/>
  <c r="R36" i="26" s="1"/>
  <c r="P38" i="26"/>
  <c r="R38" i="26" s="1"/>
  <c r="P34" i="26"/>
  <c r="R34" i="26" s="1"/>
  <c r="P25" i="26"/>
  <c r="R25" i="26" s="1"/>
  <c r="P19" i="26"/>
  <c r="R19" i="26" s="1"/>
  <c r="S34" i="26" l="1"/>
  <c r="A34" i="26" s="1"/>
  <c r="S9" i="26"/>
  <c r="A9" i="26" s="1"/>
  <c r="S21" i="26"/>
  <c r="A21" i="26" s="1"/>
  <c r="S7" i="26"/>
  <c r="A7" i="26" s="1"/>
  <c r="S15" i="26"/>
  <c r="A15" i="26" s="1"/>
  <c r="S38" i="26"/>
  <c r="A38" i="26" s="1"/>
  <c r="S29" i="26"/>
  <c r="A29" i="26" s="1"/>
  <c r="S4" i="26"/>
  <c r="A4" i="26" s="1"/>
  <c r="S6" i="26"/>
  <c r="A6" i="26" s="1"/>
  <c r="S28" i="26"/>
  <c r="A28" i="26" s="1"/>
  <c r="S19" i="26"/>
  <c r="A19" i="26" s="1"/>
  <c r="S36" i="26"/>
  <c r="A36" i="26" s="1"/>
  <c r="S35" i="26"/>
  <c r="A35" i="26" s="1"/>
  <c r="S17" i="26"/>
  <c r="A17" i="26" s="1"/>
  <c r="S30" i="26"/>
  <c r="A30" i="26" s="1"/>
  <c r="S39" i="26"/>
  <c r="A39" i="26" s="1"/>
  <c r="S31" i="26"/>
  <c r="A31" i="26" s="1"/>
  <c r="S27" i="26"/>
  <c r="A27" i="26" s="1"/>
  <c r="S20" i="26"/>
  <c r="A20" i="26" s="1"/>
  <c r="S37" i="26"/>
  <c r="A37" i="26" s="1"/>
  <c r="S2" i="26"/>
  <c r="A2" i="26" s="1"/>
  <c r="S16" i="26"/>
  <c r="A16" i="26" s="1"/>
  <c r="S13" i="26"/>
  <c r="A13" i="26" s="1"/>
  <c r="S26" i="26"/>
  <c r="A26" i="26" s="1"/>
  <c r="S32" i="26"/>
  <c r="A32" i="26" s="1"/>
  <c r="S14" i="26"/>
  <c r="A14" i="26" s="1"/>
  <c r="S8" i="26"/>
  <c r="A8" i="26" s="1"/>
  <c r="S22" i="26"/>
  <c r="A22" i="26" s="1"/>
  <c r="S25" i="26"/>
  <c r="A25" i="26" s="1"/>
  <c r="S11" i="26"/>
  <c r="A11" i="26" s="1"/>
  <c r="S18" i="26"/>
  <c r="A18" i="26" s="1"/>
  <c r="S5" i="26"/>
  <c r="A5" i="26" s="1"/>
  <c r="S10" i="26"/>
  <c r="A10" i="26" s="1"/>
  <c r="S3" i="26"/>
  <c r="A3" i="26" s="1"/>
  <c r="S23" i="26"/>
  <c r="A23" i="26" s="1"/>
  <c r="S12" i="26"/>
  <c r="A12" i="26" s="1"/>
  <c r="S33" i="26"/>
  <c r="A33" i="26" s="1"/>
  <c r="S24" i="26"/>
  <c r="A24" i="26" s="1"/>
  <c r="AH26" i="26" l="1"/>
  <c r="AD26" i="26"/>
  <c r="Z26" i="26"/>
  <c r="AH25" i="26"/>
  <c r="AD25" i="26"/>
  <c r="Z25" i="26"/>
  <c r="AH24" i="26"/>
  <c r="AD24" i="26"/>
  <c r="Z24" i="26"/>
  <c r="AH23" i="26"/>
  <c r="AD23" i="26"/>
  <c r="Z23" i="26"/>
  <c r="AH22" i="26"/>
  <c r="AD22" i="26"/>
  <c r="Z22" i="26"/>
  <c r="AH21" i="26"/>
  <c r="AD21" i="26"/>
  <c r="Z21" i="26"/>
  <c r="AH20" i="26"/>
  <c r="AD20" i="26"/>
  <c r="Z20" i="26"/>
  <c r="AH19" i="26"/>
  <c r="AD19" i="26"/>
  <c r="Z19" i="26"/>
  <c r="AH18" i="26"/>
  <c r="AD18" i="26"/>
  <c r="Z18" i="26"/>
  <c r="AH17" i="26"/>
  <c r="AD17" i="26"/>
  <c r="Z17" i="26"/>
  <c r="AH16" i="26"/>
  <c r="AD16" i="26"/>
  <c r="Z16" i="26"/>
  <c r="AH15" i="26"/>
  <c r="AD15" i="26"/>
  <c r="Z15" i="26"/>
  <c r="AH14" i="26"/>
  <c r="AD14" i="26"/>
  <c r="Z14" i="26"/>
  <c r="AH13" i="26"/>
  <c r="AD13" i="26"/>
  <c r="Z13" i="26"/>
  <c r="AH12" i="26"/>
  <c r="AD12" i="26"/>
  <c r="Z12" i="26"/>
  <c r="AH11" i="26"/>
  <c r="AD11" i="26"/>
  <c r="Z11" i="26"/>
  <c r="AH10" i="26"/>
  <c r="AD10" i="26"/>
  <c r="Z10" i="26"/>
  <c r="AH9" i="26"/>
  <c r="AD9" i="26"/>
  <c r="Z9" i="26"/>
  <c r="AH8" i="26"/>
  <c r="AD8" i="26"/>
  <c r="Z8" i="26"/>
  <c r="AH7" i="26"/>
  <c r="AD7" i="26"/>
  <c r="Z7" i="26"/>
  <c r="AH6" i="26"/>
  <c r="AD6" i="26"/>
  <c r="Z6" i="26"/>
  <c r="AH5" i="26"/>
  <c r="AD5" i="26"/>
  <c r="Z5" i="26"/>
  <c r="AH4" i="26"/>
  <c r="AD4" i="26"/>
  <c r="Z4" i="26"/>
  <c r="AH3" i="26"/>
  <c r="AD3" i="26"/>
  <c r="Z3" i="26"/>
  <c r="AH2" i="26"/>
  <c r="AD2" i="26"/>
  <c r="Z2" i="26"/>
  <c r="AG26" i="26"/>
  <c r="AB26" i="26"/>
  <c r="W26" i="26"/>
  <c r="AC25" i="26"/>
  <c r="X25" i="26"/>
  <c r="AE24" i="26"/>
  <c r="Y24" i="26"/>
  <c r="AF23" i="26"/>
  <c r="AA23" i="26"/>
  <c r="AG22" i="26"/>
  <c r="AB22" i="26"/>
  <c r="W22" i="26"/>
  <c r="AC21" i="26"/>
  <c r="X21" i="26"/>
  <c r="AE20" i="26"/>
  <c r="Y20" i="26"/>
  <c r="AF19" i="26"/>
  <c r="AA19" i="26"/>
  <c r="AG18" i="26"/>
  <c r="AB18" i="26"/>
  <c r="W18" i="26"/>
  <c r="AC17" i="26"/>
  <c r="X17" i="26"/>
  <c r="AE16" i="26"/>
  <c r="Y16" i="26"/>
  <c r="AF15" i="26"/>
  <c r="AA15" i="26"/>
  <c r="AG14" i="26"/>
  <c r="AB14" i="26"/>
  <c r="W14" i="26"/>
  <c r="AC13" i="26"/>
  <c r="X13" i="26"/>
  <c r="AE12" i="26"/>
  <c r="Y12" i="26"/>
  <c r="AF11" i="26"/>
  <c r="AA11" i="26"/>
  <c r="AG10" i="26"/>
  <c r="AB10" i="26"/>
  <c r="W10" i="26"/>
  <c r="AC9" i="26"/>
  <c r="X9" i="26"/>
  <c r="AE8" i="26"/>
  <c r="Y8" i="26"/>
  <c r="AF7" i="26"/>
  <c r="AA7" i="26"/>
  <c r="AG6" i="26"/>
  <c r="AB6" i="26"/>
  <c r="W6" i="26"/>
  <c r="AC5" i="26"/>
  <c r="X5" i="26"/>
  <c r="AE4" i="26"/>
  <c r="Y4" i="26"/>
  <c r="AF3" i="26"/>
  <c r="AA3" i="26"/>
  <c r="AG2" i="26"/>
  <c r="AB2" i="26"/>
  <c r="W2" i="26"/>
  <c r="Y26" i="26"/>
  <c r="AF25" i="26"/>
  <c r="AA25" i="26"/>
  <c r="AG24" i="26"/>
  <c r="AB24" i="26"/>
  <c r="W24" i="26"/>
  <c r="AC23" i="26"/>
  <c r="X23" i="26"/>
  <c r="AE22" i="26"/>
  <c r="Y22" i="26"/>
  <c r="AF21" i="26"/>
  <c r="AA21" i="26"/>
  <c r="AG20" i="26"/>
  <c r="AB20" i="26"/>
  <c r="W20" i="26"/>
  <c r="AC19" i="26"/>
  <c r="X19" i="26"/>
  <c r="AE18" i="26"/>
  <c r="AF17" i="26"/>
  <c r="AA17" i="26"/>
  <c r="AG16" i="26"/>
  <c r="W16" i="26"/>
  <c r="X15" i="26"/>
  <c r="Y14" i="26"/>
  <c r="AA13" i="26"/>
  <c r="AB12" i="26"/>
  <c r="AC11" i="26"/>
  <c r="AE10" i="26"/>
  <c r="AF9" i="26"/>
  <c r="AG8" i="26"/>
  <c r="W8" i="26"/>
  <c r="X7" i="26"/>
  <c r="Y6" i="26"/>
  <c r="AA5" i="26"/>
  <c r="AB4" i="26"/>
  <c r="AC3" i="26"/>
  <c r="AE2" i="26"/>
  <c r="X26" i="26"/>
  <c r="AE25" i="26"/>
  <c r="AF24" i="26"/>
  <c r="AF26" i="26"/>
  <c r="AA26" i="26"/>
  <c r="AG25" i="26"/>
  <c r="AB25" i="26"/>
  <c r="W25" i="26"/>
  <c r="AC24" i="26"/>
  <c r="X24" i="26"/>
  <c r="AE23" i="26"/>
  <c r="Y23" i="26"/>
  <c r="AF22" i="26"/>
  <c r="AA22" i="26"/>
  <c r="AG21" i="26"/>
  <c r="AB21" i="26"/>
  <c r="W21" i="26"/>
  <c r="AC20" i="26"/>
  <c r="X20" i="26"/>
  <c r="AE19" i="26"/>
  <c r="Y19" i="26"/>
  <c r="AF18" i="26"/>
  <c r="AA18" i="26"/>
  <c r="AG17" i="26"/>
  <c r="AB17" i="26"/>
  <c r="W17" i="26"/>
  <c r="AC16" i="26"/>
  <c r="X16" i="26"/>
  <c r="AE15" i="26"/>
  <c r="Y15" i="26"/>
  <c r="AF14" i="26"/>
  <c r="AA14" i="26"/>
  <c r="AG13" i="26"/>
  <c r="AB13" i="26"/>
  <c r="W13" i="26"/>
  <c r="AC12" i="26"/>
  <c r="X12" i="26"/>
  <c r="AE11" i="26"/>
  <c r="Y11" i="26"/>
  <c r="AF10" i="26"/>
  <c r="AA10" i="26"/>
  <c r="AG9" i="26"/>
  <c r="AB9" i="26"/>
  <c r="W9" i="26"/>
  <c r="AC8" i="26"/>
  <c r="X8" i="26"/>
  <c r="AE7" i="26"/>
  <c r="Y7" i="26"/>
  <c r="AF6" i="26"/>
  <c r="AA6" i="26"/>
  <c r="AG5" i="26"/>
  <c r="AB5" i="26"/>
  <c r="W5" i="26"/>
  <c r="AC4" i="26"/>
  <c r="X4" i="26"/>
  <c r="AE3" i="26"/>
  <c r="Y3" i="26"/>
  <c r="AF2" i="26"/>
  <c r="AA2" i="26"/>
  <c r="AE26" i="26"/>
  <c r="Y18" i="26"/>
  <c r="AB16" i="26"/>
  <c r="AC15" i="26"/>
  <c r="AE14" i="26"/>
  <c r="AF13" i="26"/>
  <c r="AG12" i="26"/>
  <c r="W12" i="26"/>
  <c r="X11" i="26"/>
  <c r="Y10" i="26"/>
  <c r="AA9" i="26"/>
  <c r="AB8" i="26"/>
  <c r="AC7" i="26"/>
  <c r="AE6" i="26"/>
  <c r="AF5" i="26"/>
  <c r="AG4" i="26"/>
  <c r="W4" i="26"/>
  <c r="X3" i="26"/>
  <c r="Y2" i="26"/>
  <c r="AC26" i="26"/>
  <c r="Y25" i="26"/>
  <c r="W23" i="26"/>
  <c r="Y21" i="26"/>
  <c r="AB19" i="26"/>
  <c r="AE17" i="26"/>
  <c r="AG15" i="26"/>
  <c r="X14" i="26"/>
  <c r="AA12" i="26"/>
  <c r="AC10" i="26"/>
  <c r="AF8" i="26"/>
  <c r="W7" i="26"/>
  <c r="Y5" i="26"/>
  <c r="AB3" i="26"/>
  <c r="AG23" i="26"/>
  <c r="AC18" i="26"/>
  <c r="W15" i="26"/>
  <c r="AB11" i="26"/>
  <c r="X6" i="26"/>
  <c r="AC2" i="26"/>
  <c r="AB23" i="26"/>
  <c r="AA16" i="26"/>
  <c r="AF12" i="26"/>
  <c r="Y9" i="26"/>
  <c r="AE5" i="26"/>
  <c r="X2" i="26"/>
  <c r="AA24" i="26"/>
  <c r="AC22" i="26"/>
  <c r="AF20" i="26"/>
  <c r="W19" i="26"/>
  <c r="Y17" i="26"/>
  <c r="AB15" i="26"/>
  <c r="AE13" i="26"/>
  <c r="AG11" i="26"/>
  <c r="X10" i="26"/>
  <c r="AA8" i="26"/>
  <c r="AC6" i="26"/>
  <c r="AF4" i="26"/>
  <c r="W3" i="26"/>
  <c r="X22" i="26"/>
  <c r="AA20" i="26"/>
  <c r="AF16" i="26"/>
  <c r="Y13" i="26"/>
  <c r="AE9" i="26"/>
  <c r="AG7" i="26"/>
  <c r="AA4" i="26"/>
  <c r="AE21" i="26"/>
  <c r="AG19" i="26"/>
  <c r="X18" i="26"/>
  <c r="AC14" i="26"/>
  <c r="W11" i="26"/>
  <c r="AB7" i="26"/>
  <c r="AG3" i="26"/>
</calcChain>
</file>

<file path=xl/sharedStrings.xml><?xml version="1.0" encoding="utf-8"?>
<sst xmlns="http://schemas.openxmlformats.org/spreadsheetml/2006/main" count="688" uniqueCount="110">
  <si>
    <t>George</t>
  </si>
  <si>
    <t>Barclay</t>
  </si>
  <si>
    <t>Liam</t>
  </si>
  <si>
    <t>Lawrence</t>
  </si>
  <si>
    <t>David</t>
  </si>
  <si>
    <t>Bastin</t>
  </si>
  <si>
    <t>Ryan</t>
  </si>
  <si>
    <t>Toporowski</t>
  </si>
  <si>
    <t>Paul</t>
  </si>
  <si>
    <t>Beechey</t>
  </si>
  <si>
    <t>Nathan</t>
  </si>
  <si>
    <t>Chivers</t>
  </si>
  <si>
    <t>Jonathan</t>
  </si>
  <si>
    <t>Smith</t>
  </si>
  <si>
    <t>Cunnington</t>
  </si>
  <si>
    <t>Haydn</t>
  </si>
  <si>
    <t>Cruickshank</t>
  </si>
  <si>
    <t>Harry</t>
  </si>
  <si>
    <t>Love</t>
  </si>
  <si>
    <t>Lwi</t>
  </si>
  <si>
    <t>Edwards</t>
  </si>
  <si>
    <t>Oliver</t>
  </si>
  <si>
    <t>Evans</t>
  </si>
  <si>
    <t>Matthew</t>
  </si>
  <si>
    <t>Denham</t>
  </si>
  <si>
    <t>Axel</t>
  </si>
  <si>
    <t>Hildebrand</t>
  </si>
  <si>
    <t>Ian</t>
  </si>
  <si>
    <t>Phillips</t>
  </si>
  <si>
    <t>Martin</t>
  </si>
  <si>
    <t>Richards</t>
  </si>
  <si>
    <t>Joel</t>
  </si>
  <si>
    <t>Conlan</t>
  </si>
  <si>
    <t>Olly</t>
  </si>
  <si>
    <t>Bolton</t>
  </si>
  <si>
    <t>Richie</t>
  </si>
  <si>
    <t>Gilbey</t>
  </si>
  <si>
    <t>Andy</t>
  </si>
  <si>
    <t>Frost</t>
  </si>
  <si>
    <t>Micheal</t>
  </si>
  <si>
    <t>Bennett</t>
  </si>
  <si>
    <t>Josh</t>
  </si>
  <si>
    <t>King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</si>
  <si>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</si>
  <si>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</si>
  <si>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</si>
  <si>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</si>
  <si>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</si>
  <si>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</si>
  <si>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</si>
  <si>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</si>
  <si>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Calc1</t>
  </si>
  <si>
    <t>Calc2</t>
  </si>
  <si>
    <t>Calc3</t>
  </si>
  <si>
    <t>Cal4</t>
  </si>
  <si>
    <t>Calc5</t>
  </si>
  <si>
    <t>Calc6</t>
  </si>
  <si>
    <t>Cal7</t>
  </si>
  <si>
    <t>Calc8</t>
  </si>
  <si>
    <t>Q1</t>
  </si>
  <si>
    <t>Q2</t>
  </si>
  <si>
    <t>Rank</t>
  </si>
  <si>
    <t>Hide</t>
  </si>
  <si>
    <t>#</t>
  </si>
  <si>
    <t>Name</t>
  </si>
  <si>
    <t>Order</t>
  </si>
  <si>
    <t>Column1</t>
  </si>
  <si>
    <t>Column2</t>
  </si>
  <si>
    <t>Column4</t>
  </si>
  <si>
    <t>R1J1</t>
  </si>
  <si>
    <t>R1J2</t>
  </si>
  <si>
    <t>R1J3</t>
  </si>
  <si>
    <t>R2J1</t>
  </si>
  <si>
    <t>R2J2</t>
  </si>
  <si>
    <t>R2J3</t>
  </si>
  <si>
    <t>Max</t>
  </si>
  <si>
    <t>Min</t>
  </si>
  <si>
    <t>Q</t>
  </si>
  <si>
    <t>Drop</t>
  </si>
  <si>
    <t>Count drop hide</t>
  </si>
  <si>
    <t>Drop Hide</t>
  </si>
  <si>
    <t>Hide New Rank</t>
  </si>
  <si>
    <t>Highest Score</t>
  </si>
  <si>
    <t>Lower Score</t>
  </si>
  <si>
    <t>Scrut</t>
  </si>
  <si>
    <t>Q Pos</t>
  </si>
  <si>
    <t>Score</t>
  </si>
  <si>
    <t>Semi 1</t>
  </si>
  <si>
    <t>Semi 2</t>
  </si>
  <si>
    <t>Final</t>
  </si>
  <si>
    <t>Nam</t>
  </si>
  <si>
    <t>3rd Place</t>
  </si>
  <si>
    <t>Pts</t>
  </si>
  <si>
    <t>Qualifying position</t>
  </si>
  <si>
    <t>Final Seed</t>
  </si>
  <si>
    <t>Top 16 Matches</t>
  </si>
  <si>
    <t>Rd1</t>
  </si>
  <si>
    <t>Rd2</t>
  </si>
  <si>
    <t>Rd3</t>
  </si>
  <si>
    <t>Rd4</t>
  </si>
  <si>
    <t>Rd5</t>
  </si>
  <si>
    <t>Rd6</t>
  </si>
  <si>
    <t>Rd7</t>
  </si>
  <si>
    <t>Rd8</t>
  </si>
  <si>
    <t>Total</t>
  </si>
  <si>
    <t>Lastname</t>
  </si>
  <si>
    <t>X</t>
  </si>
  <si>
    <t>Hughes</t>
  </si>
  <si>
    <t>Roberts</t>
  </si>
  <si>
    <t>Liam Lawrence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</si>
</sst>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1" xfId="0" applyBorder="1" applyProtection="1">
      <protection locked="0"/>
    </xf>
    <xf numFmtId="0" fontId="0" fillId="3" borderId="1" xfId="0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1604"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</dxf>
    <dxf>
      <numFmt numFmtId="0" formatCode="General"/>
    </dxf>
    <dxf>
      <numFmt numFmtId="0" formatCode="General"/>
    </dxf>
    <dxf>
      <protection locked="0" hidden="0"/>
    </dxf>
    <dxf>
      <numFmt numFmtId="0" formatCode="General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saya\Dropbox\driftpro%20championship%20sheetr8.xlsx" TargetMode="External"/><Relationship Id="rId1" Type="http://schemas.openxmlformats.org/officeDocument/2006/relationships/externalLinkPath" Target="/Users/Masaya/Dropbox/driftpro%20championship%20sheetr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try List"/>
      <sheetName val="Quali"/>
      <sheetName val="Finals"/>
      <sheetName val="Champs"/>
      <sheetName val="RD3 Entry"/>
      <sheetName val="RD3 Quali"/>
      <sheetName val="RD3 Finals"/>
      <sheetName val="RD4 Entry"/>
      <sheetName val="RD4 Quali"/>
      <sheetName val="RD4 Finals"/>
      <sheetName val="RD5 Entry"/>
      <sheetName val="RD5 Quali"/>
      <sheetName val="RD5 Finals"/>
      <sheetName val="RD6 Entry"/>
      <sheetName val="RD6 Quali"/>
      <sheetName val="RD6 Finals"/>
      <sheetName val="RD7 Entry"/>
      <sheetName val="RD7 Quali"/>
      <sheetName val="RD7 Finals"/>
      <sheetName val="RD8 Entry"/>
      <sheetName val="RD8 Quali"/>
      <sheetName val="RD8 Finals"/>
      <sheetName val="driftpro championship sheetr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14782687-566F-48A3-A7B0-8FDF47D87581}" name="Table33" displayName="Table33" ref="V1:AH26" totalsRowShown="0">
  <autoFilter ref="V1:AH26" xr:uid="{14782687-566F-48A3-A7B0-8FDF47D87581}"/>
  <tableColumns count="13">
    <tableColumn id="1" xr3:uid="{DFE6A638-652B-4D1E-A257-B745368F9E81}" name="Rank"/>
    <tableColumn id="2" xr3:uid="{7F084B1F-5B39-46DA-A7FC-55838F92F3C2}" name="#">
      <calculatedColumnFormula>VLOOKUP(V2,$A$2:$M$39,2,0)</calculatedColumnFormula>
    </tableColumn>
    <tableColumn id="3" xr3:uid="{9EAD19C0-F8F4-47D1-B35A-B7D31B95FA07}" name="Name">
      <calculatedColumnFormula>VLOOKUP(V2,$A$2:$M$39,3,0)</calculatedColumnFormula>
    </tableColumn>
    <tableColumn id="4" xr3:uid="{C679E87B-3BAE-49F5-85C5-7D259C62AA30}" name="Lastname">
      <calculatedColumnFormula>VLOOKUP(V2,$A$2:$M$39,4,0)</calculatedColumnFormula>
    </tableColumn>
    <tableColumn id="5" xr3:uid="{0717AFC6-BBFD-4234-BF7E-05F19B691A12}" name="Rd1">
      <calculatedColumnFormula>VLOOKUP(V2,$A$2:$M$39,5,0)</calculatedColumnFormula>
    </tableColumn>
    <tableColumn id="6" xr3:uid="{CDE278C6-4D79-4A1B-A078-2E71154772F5}" name="Rd2">
      <calculatedColumnFormula>VLOOKUP(V2,$A$2:$M$39,6,0)</calculatedColumnFormula>
    </tableColumn>
    <tableColumn id="7" xr3:uid="{E5CC9D44-64DA-430A-957E-A91CB4F8CA60}" name="Rd3">
      <calculatedColumnFormula>VLOOKUP(V2,$A$2:$M$39,7,0)</calculatedColumnFormula>
    </tableColumn>
    <tableColumn id="8" xr3:uid="{266ADA15-97EB-4486-92E9-373D0128E5D6}" name="Rd4">
      <calculatedColumnFormula>VLOOKUP(V2,$A$2:$M$39,8,0)</calculatedColumnFormula>
    </tableColumn>
    <tableColumn id="9" xr3:uid="{30AA0578-8FB6-4086-A307-7D83691A058E}" name="Rd5">
      <calculatedColumnFormula>VLOOKUP(V2,$A$2:$M$39,9,0)</calculatedColumnFormula>
    </tableColumn>
    <tableColumn id="10" xr3:uid="{906C4D5A-DA31-4558-8FE0-FAD748B77F82}" name="Rd6">
      <calculatedColumnFormula>VLOOKUP(V2,$A$2:$M$39,10,0)</calculatedColumnFormula>
    </tableColumn>
    <tableColumn id="11" xr3:uid="{0EBE9B22-7354-446F-B98B-D223FFE4E9F5}" name="Rd7">
      <calculatedColumnFormula>VLOOKUP(V2,$A$2:$M$39,11,0)</calculatedColumnFormula>
    </tableColumn>
    <tableColumn id="12" xr3:uid="{D2C1C89B-8D47-44D5-B158-54E9102E7235}" name="Rd8">
      <calculatedColumnFormula>VLOOKUP(V2,$A$2:$M$39,12,0)</calculatedColumnFormula>
    </tableColumn>
    <tableColumn id="13" xr3:uid="{7EDD25CE-60D4-4FD0-A42C-3FAFD4A20E65}" name="Total">
      <calculatedColumnFormula>VLOOKUP(V2,$A$2:$M$39,13,0)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A11954C-D743-43E6-ACFD-A68B86F6AFC8}" name="Table1610" displayName="Table1610" ref="X2:AG27" totalsRowShown="0">
  <autoFilter ref="X2:AG27" xr:uid="{0A80B9AF-F522-4871-9F9E-B996AACEAD2E}"/>
  <tableColumns count="10">
    <tableColumn id="7" xr3:uid="{232C48FA-5423-4354-9749-28A78B271252}" name="Hide New Rank" dataDxfId="1549">
      <calculatedColumnFormula>Table1610[[#This Row],[Column1]]</calculatedColumnFormula>
    </tableColumn>
    <tableColumn id="1" xr3:uid="{299A107B-547B-4FDB-A81E-D4D157B4C2CD}" name="Rank"/>
    <tableColumn id="2" xr3:uid="{843C9679-AA14-420F-991E-887F36891C86}" name="#" dataDxfId="1548">
      <calculatedColumnFormula>VLOOKUP(Y3,$P$3:$U$27,3,0)</calculatedColumnFormula>
    </tableColumn>
    <tableColumn id="3" xr3:uid="{867D319C-CB78-4E93-B57D-C948C83B8724}" name="Name" dataDxfId="1547">
      <calculatedColumnFormula>VLOOKUP(Y3,$P$3:$U$27,4,0)</calculatedColumnFormula>
    </tableColumn>
    <tableColumn id="9" xr3:uid="{1A542004-D404-49BF-8FC8-2D51A64F9457}" name="Highest Score" dataDxfId="1546">
      <calculatedColumnFormula>VLOOKUP(Y3,$P$3:$U$27,5,0)</calculatedColumnFormula>
    </tableColumn>
    <tableColumn id="8" xr3:uid="{5F942EE6-E3E9-4080-9BD9-20B2F5758B96}" name="Lower Score" dataDxfId="1545">
      <calculatedColumnFormula>VLOOKUP(Y3,$P$3:$U$27,6,0)</calculatedColumnFormula>
    </tableColumn>
    <tableColumn id="4" xr3:uid="{8ED0217E-A237-4D45-A4B3-2D6CFD093C2C}" name="Drop Hide" dataDxfId="1544">
      <calculatedColumnFormula>VLOOKUP(Table1610[[#This Row],['#]],Table2711[['#]:[Drop]],16,0)</calculatedColumnFormula>
    </tableColumn>
    <tableColumn id="5" xr3:uid="{85F35EB4-B0F2-4701-8D50-E45F07BAD160}" name="Count drop hide" dataDxfId="1543">
      <calculatedColumnFormula>COUNTIF($AD$3:AD3,"X")</calculatedColumnFormula>
    </tableColumn>
    <tableColumn id="10" xr3:uid="{99FEC90D-57A5-46A3-AA36-50BE7A791BF5}" name="Column1" dataDxfId="1542">
      <calculatedColumnFormula>IF(Table1610[[#This Row],[Drop Hide]]="X",16+Table1610[[#This Row],[Count drop hide]],IF(Table1610[[#This Row],[Rank]]-Table1610[[#This Row],[Count drop hide]]&gt;16,Table1610[[#This Row],[Rank]],Table1610[[#This Row],[Rank]]-Table1610[[#This Row],[Count drop hide]]))</calculatedColumnFormula>
    </tableColumn>
    <tableColumn id="11" xr3:uid="{B8D3B328-C2A1-4905-8E79-7F8D9A303963}" name="Column2" dataDxfId="1541">
      <calculatedColumnFormula>IF(Table1610[[#This Row],[Drop Hide]]="X",10,"NO")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F34E5BF-8FC7-438A-A0BA-3297E4A2B6A4}" name="Table2711" displayName="Table2711" ref="A2:Q27" totalsRowShown="0">
  <autoFilter ref="A2:Q27" xr:uid="{4653D339-97C3-4478-9F35-60F90639E89B}"/>
  <tableColumns count="17">
    <tableColumn id="1" xr3:uid="{AE519E87-E579-444D-8945-4F8D9960A93C}" name="Order"/>
    <tableColumn id="2" xr3:uid="{E3AC88F8-452C-42D3-9885-246E3265CC85}" name="#">
      <calculatedColumnFormula>VLOOKUP('Round 3'!$A3,INDEX(Entry!$E$2:$U$23,1,'Round 3'!$A$1*2-1):'Entry'!$U$33,18-$A$1*2,0)</calculatedColumnFormula>
    </tableColumn>
    <tableColumn id="3" xr3:uid="{9887AADD-0EF9-4DBD-B7EC-160CFB2ED6B2}" name="Name">
      <calculatedColumnFormula>VLOOKUP('Round 3'!$A3,INDEX(Entry!$E$2:$U$23,1,'Round 3'!$A$1*2-1):'Entry'!$U$33,19-$A$1*2,0)</calculatedColumnFormula>
    </tableColumn>
    <tableColumn id="18" xr3:uid="{0A647F38-F64C-4322-AE25-2D501CDE8446}" name="Scrut" dataDxfId="1540"/>
    <tableColumn id="4" xr3:uid="{A1AFD979-0BFD-47B4-9BE6-19C30EFFCF86}" name="R1J1" dataDxfId="1539"/>
    <tableColumn id="5" xr3:uid="{E3687462-D078-40B8-8BC3-6191802C0F03}" name="R1J2" dataDxfId="1538"/>
    <tableColumn id="6" xr3:uid="{483B8DF6-6F2C-4FC4-832C-EB290963A04D}" name="R1J3" dataDxfId="1537"/>
    <tableColumn id="7" xr3:uid="{D9256506-7500-44A5-800B-1F2A1BFFF9A3}" name="Q1">
      <calculatedColumnFormula>ROUND(IFERROR(AVERAGE(E3:G3),0),2)</calculatedColumnFormula>
    </tableColumn>
    <tableColumn id="8" xr3:uid="{425CF04D-DEDE-4016-89FC-E146A2E04FE1}" name="R2J1" dataDxfId="1536"/>
    <tableColumn id="9" xr3:uid="{823F47DB-A015-4328-BEAC-4152FA7E78FE}" name="R2J2" dataDxfId="1535"/>
    <tableColumn id="10" xr3:uid="{981DF0CE-2B9D-42A3-ABCE-AEEEE571205B}" name="R2J3" dataDxfId="1534"/>
    <tableColumn id="11" xr3:uid="{884842B4-8469-4E73-AF43-B472DDA31FE9}" name="Q2">
      <calculatedColumnFormula>ROUND(IFERROR(AVERAGE(I3:K3),0),2)</calculatedColumnFormula>
    </tableColumn>
    <tableColumn id="12" xr3:uid="{98F43837-26B4-47B5-8107-A36D5F4CE749}" name="Max" dataDxfId="1533">
      <calculatedColumnFormula>MAX(H3,L3)</calculatedColumnFormula>
    </tableColumn>
    <tableColumn id="13" xr3:uid="{A6A8B384-EB76-4AD3-8E70-2D9901EC8F43}" name="Min">
      <calculatedColumnFormula>IF(H3=M3,L3,H3)</calculatedColumnFormula>
    </tableColumn>
    <tableColumn id="14" xr3:uid="{53023EB2-91FE-428A-9A4A-C09EF74702BF}" name="Column4">
      <calculatedColumnFormula>IFERROR(M3+N3/1000+((1000-B3)/1000000),0)</calculatedColumnFormula>
    </tableColumn>
    <tableColumn id="15" xr3:uid="{63DE86F5-A231-441A-A88F-642659FC61E2}" name="Rank">
      <calculatedColumnFormula>RANK(O3,$O$3:$O$27,0)</calculatedColumnFormula>
    </tableColumn>
    <tableColumn id="17" xr3:uid="{32E08A26-A2F7-4F5F-B09D-5882E8A7E7E8}" name="Drop" dataDxfId="153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885F26-3A5B-4586-B3A8-B873F428A71E}" name="Table4812" displayName="Table4812" ref="AI2:AK18" totalsRowShown="0">
  <autoFilter ref="AI2:AK18" xr:uid="{DAE50CD4-E7CC-4498-837B-29AABCC10495}"/>
  <tableColumns count="3">
    <tableColumn id="1" xr3:uid="{9031F8B3-389C-4B60-B4F8-5366168ECD80}" name="Rank" dataDxfId="1531"/>
    <tableColumn id="2" xr3:uid="{2EF2CEF0-2A03-44C7-910F-80B16DDA0782}" name="#" dataDxfId="1530">
      <calculatedColumnFormula>VLOOKUP(AI3,$X$3:$AA$27,3,0)</calculatedColumnFormula>
    </tableColumn>
    <tableColumn id="3" xr3:uid="{D521F0E4-1C1E-4B33-B613-9A8278AC1D4C}" name="Name" dataDxfId="1529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F8542EA-AA8B-47F3-AB58-2E87535C5363}" name="RD3pts" displayName="RD3pts" ref="AD15:AG40" totalsRowShown="0" headerRowDxfId="1528" dataDxfId="1527">
  <autoFilter ref="AD15:AG40" xr:uid="{21BBA437-B171-4E42-AF05-A736CCD17DCF}"/>
  <tableColumns count="4">
    <tableColumn id="1" xr3:uid="{1B679C91-A1F2-4C10-9B35-12D0FE1F6F02}" name="Final" dataDxfId="1526"/>
    <tableColumn id="2" xr3:uid="{892B3008-DCF4-4F5D-8C89-CA2CE1DF5094}" name="#" dataDxfId="1525">
      <calculatedColumnFormula>VLOOKUP(AD16,[1]!Table3[#All],2,0)</calculatedColumnFormula>
    </tableColumn>
    <tableColumn id="3" xr3:uid="{28539973-6E91-495A-A3B0-550087DA1879}" name="Nam" dataDxfId="1524">
      <calculatedColumnFormula>VLOOKUP(AD16,[1]!Table3[#All],3,0)</calculatedColumnFormula>
    </tableColumn>
    <tableColumn id="4" xr3:uid="{CD2F666F-19A9-4C67-8D21-69BD3F6E63BE}" name="Pts" dataDxfId="1523">
      <calculatedColumnFormula>VLOOKUP(RD3pts[[#This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0A91FDA-833D-4CE9-881F-32E642970B12}" name="Table161014" displayName="Table161014" ref="X2:AG27" totalsRowShown="0">
  <autoFilter ref="X2:AG27" xr:uid="{0A80B9AF-F522-4871-9F9E-B996AACEAD2E}"/>
  <tableColumns count="10">
    <tableColumn id="7" xr3:uid="{559993A7-6592-4C2B-B418-C4D2BD39CAD6}" name="Hide New Rank" dataDxfId="1522">
      <calculatedColumnFormula>Table161014[[#This Row],[Column1]]</calculatedColumnFormula>
    </tableColumn>
    <tableColumn id="1" xr3:uid="{8492571C-B31F-4A9C-8C6F-FBC1F6733E83}" name="Rank"/>
    <tableColumn id="2" xr3:uid="{F3D6FC8C-6EC0-4CAB-B678-2071134E115C}" name="#" dataDxfId="1521">
      <calculatedColumnFormula>VLOOKUP(Y3,$P$3:$U$27,3,0)</calculatedColumnFormula>
    </tableColumn>
    <tableColumn id="3" xr3:uid="{EF06551B-DB90-4514-928C-11AE731429D7}" name="Name" dataDxfId="1520">
      <calculatedColumnFormula>VLOOKUP(Y3,$P$3:$U$27,4,0)</calculatedColumnFormula>
    </tableColumn>
    <tableColumn id="9" xr3:uid="{7D18EE36-052A-4FA8-85A3-AB35E94BF8CC}" name="Highest Score" dataDxfId="1519">
      <calculatedColumnFormula>VLOOKUP(Y3,$P$3:$U$27,5,0)</calculatedColumnFormula>
    </tableColumn>
    <tableColumn id="8" xr3:uid="{706D5EA5-8BEF-4961-9C70-14139737AF68}" name="Lower Score" dataDxfId="1518">
      <calculatedColumnFormula>VLOOKUP(Y3,$P$3:$U$27,6,0)</calculatedColumnFormula>
    </tableColumn>
    <tableColumn id="4" xr3:uid="{1A112F8F-6D1D-4F3E-83A4-082203C0191D}" name="Drop Hide" dataDxfId="1517">
      <calculatedColumnFormula>VLOOKUP(Table161014[[#This Row],['#]],Table271115[['#]:[Drop]],16,0)</calculatedColumnFormula>
    </tableColumn>
    <tableColumn id="5" xr3:uid="{EC5455A1-7B5C-4F94-B784-3B6DC51EDE0B}" name="Count drop hide" dataDxfId="1516">
      <calculatedColumnFormula>COUNTIF($AD$3:AD3,"X")</calculatedColumnFormula>
    </tableColumn>
    <tableColumn id="10" xr3:uid="{A3101FF7-AC46-43F3-8C8E-D1DEDDF6DACA}" name="Column1" dataDxfId="1515">
      <calculatedColumnFormula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calculatedColumnFormula>
    </tableColumn>
    <tableColumn id="11" xr3:uid="{2E7822E2-B123-4029-9169-FC668B5BC2D1}" name="Column2" dataDxfId="1514">
      <calculatedColumnFormula>IF(Table161014[[#This Row],[Drop Hide]]="X",10,"NO")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CD95E0A-C3D3-4404-8D3C-D5DE1FBF3953}" name="Table271115" displayName="Table271115" ref="A2:Q27" totalsRowShown="0">
  <autoFilter ref="A2:Q27" xr:uid="{4653D339-97C3-4478-9F35-60F90639E89B}"/>
  <tableColumns count="17">
    <tableColumn id="1" xr3:uid="{7B5690B9-888D-467D-B679-D8C78D764FBA}" name="Order"/>
    <tableColumn id="2" xr3:uid="{B3E6850C-8FA3-46C4-A085-95E5BE098FB7}" name="#">
      <calculatedColumnFormula>VLOOKUP('Round 4'!$A3,INDEX(Entry!$E$2:$U$23,1,'Round 4'!$A$1*2-1):'Entry'!$U$33,18-$A$1*2,0)</calculatedColumnFormula>
    </tableColumn>
    <tableColumn id="3" xr3:uid="{5B63C2BC-E8CD-45AA-8413-0AC0C3B0C6DF}" name="Name">
      <calculatedColumnFormula>VLOOKUP('Round 4'!$A3,INDEX(Entry!$E$2:$U$23,1,'Round 4'!$A$1*2-1):'Entry'!$U$33,19-$A$1*2,0)</calculatedColumnFormula>
    </tableColumn>
    <tableColumn id="18" xr3:uid="{D317E439-69F9-473B-B163-F1B2A2C91CB3}" name="Scrut" dataDxfId="1513"/>
    <tableColumn id="4" xr3:uid="{935C1406-7634-4181-B819-55C3F116ECD2}" name="R1J1" dataDxfId="1512"/>
    <tableColumn id="5" xr3:uid="{8521E510-E342-4EA8-B8AC-903DBB56DD87}" name="R1J2" dataDxfId="1511"/>
    <tableColumn id="6" xr3:uid="{FF4940CF-28D7-4379-8EDB-BAECC5B0AEE8}" name="R1J3" dataDxfId="1510"/>
    <tableColumn id="7" xr3:uid="{C05C046D-C91A-4C66-9A78-F4C4FF95C9F6}" name="Q1">
      <calculatedColumnFormula>ROUND(IFERROR(AVERAGE(E3:G3),0),2)</calculatedColumnFormula>
    </tableColumn>
    <tableColumn id="8" xr3:uid="{32065D04-D2F2-4DAC-A473-215D97822D09}" name="R2J1" dataDxfId="1509"/>
    <tableColumn id="9" xr3:uid="{4AEC8317-92B6-4297-ABC3-271E424E9974}" name="R2J2" dataDxfId="1508"/>
    <tableColumn id="10" xr3:uid="{66334DE6-4646-42B4-82A4-9B66647227C1}" name="R2J3" dataDxfId="1507"/>
    <tableColumn id="11" xr3:uid="{0419CAEC-4D2E-4563-9E55-74F5FB808BFE}" name="Q2">
      <calculatedColumnFormula>ROUND(IFERROR(AVERAGE(I3:K3),0),2)</calculatedColumnFormula>
    </tableColumn>
    <tableColumn id="12" xr3:uid="{9F3FE01A-381E-4082-9DAA-3982C9BA4CC9}" name="Max" dataDxfId="1506">
      <calculatedColumnFormula>MAX(H3,L3)</calculatedColumnFormula>
    </tableColumn>
    <tableColumn id="13" xr3:uid="{69DDF443-DA47-4887-ABD9-FC378854B0A1}" name="Min">
      <calculatedColumnFormula>IF(H3=M3,L3,H3)</calculatedColumnFormula>
    </tableColumn>
    <tableColumn id="14" xr3:uid="{D4A3F06E-1030-421D-839D-C5417F3C80A3}" name="Column4">
      <calculatedColumnFormula>IFERROR(M3+N3/1000+((1000-B3)/1000000),0)</calculatedColumnFormula>
    </tableColumn>
    <tableColumn id="15" xr3:uid="{1002E205-1F48-4F56-A263-B15BAFBB07BC}" name="Rank">
      <calculatedColumnFormula>RANK(O3,$O$3:$O$27,0)</calculatedColumnFormula>
    </tableColumn>
    <tableColumn id="17" xr3:uid="{B8E93CEF-05F6-4708-BAD2-7E39509351BF}" name="Drop" dataDxfId="150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D4F51A4-B11F-4693-91AD-FB3955261FDB}" name="Table481216" displayName="Table481216" ref="AI2:AK18" totalsRowShown="0">
  <autoFilter ref="AI2:AK18" xr:uid="{DAE50CD4-E7CC-4498-837B-29AABCC10495}"/>
  <tableColumns count="3">
    <tableColumn id="1" xr3:uid="{ACE120D4-2BD3-48F6-9C33-6F643B447BF4}" name="Rank" dataDxfId="1504"/>
    <tableColumn id="2" xr3:uid="{4CBFAD44-E230-4661-A72B-16FF6CE8FC54}" name="#" dataDxfId="1503">
      <calculatedColumnFormula>VLOOKUP(AI3,$X$3:$AA$27,3,0)</calculatedColumnFormula>
    </tableColumn>
    <tableColumn id="3" xr3:uid="{D5A7D4D5-AA9F-4E7F-BAD1-CBAA65B7D333}" name="Name" dataDxfId="1502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D869522-FA09-4CF5-8354-CE87F03E7107}" name="Table591317" displayName="Table591317" ref="AD15:AG40" totalsRowShown="0" headerRowDxfId="1501" dataDxfId="1500">
  <autoFilter ref="AD15:AG40" xr:uid="{21BBA437-B171-4E42-AF05-A736CCD17DCF}"/>
  <tableColumns count="4">
    <tableColumn id="1" xr3:uid="{7117065A-C7DA-45FF-876A-E8B1B6E1E643}" name="Final" dataDxfId="1499"/>
    <tableColumn id="2" xr3:uid="{F5CF2BEC-6194-4223-B298-DA68CE565172}" name="#" dataDxfId="1498">
      <calculatedColumnFormula>VLOOKUP(AD16,[1]!Table3[#All],2,0)</calculatedColumnFormula>
    </tableColumn>
    <tableColumn id="3" xr3:uid="{5803A30A-A135-4E32-AC60-E99C9D011009}" name="Nam" dataDxfId="1497">
      <calculatedColumnFormula>VLOOKUP(AD16,[1]!Table3[#All],3,0)</calculatedColumnFormula>
    </tableColumn>
    <tableColumn id="4" xr3:uid="{63EB5500-B173-4A02-B320-57E489FFD2FB}" name="Pts" dataDxfId="1496">
      <calculatedColumnFormula>VLOOKUP(Table591317[[#This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C6FC7A2-8AAC-459E-9C6E-448809A27467}" name="Table16101418" displayName="Table16101418" ref="X2:AG27" totalsRowShown="0">
  <autoFilter ref="X2:AG27" xr:uid="{0A80B9AF-F522-4871-9F9E-B996AACEAD2E}"/>
  <tableColumns count="10">
    <tableColumn id="7" xr3:uid="{3493ADDA-575A-4D69-8D69-EBA77A496809}" name="Hide New Rank" dataDxfId="1495">
      <calculatedColumnFormula>Table16101418[[#This Row],[Column1]]</calculatedColumnFormula>
    </tableColumn>
    <tableColumn id="1" xr3:uid="{AA659E23-CF30-45DC-87D7-9B129220DC66}" name="Rank"/>
    <tableColumn id="2" xr3:uid="{36BCAB44-ACFF-4FDD-9ED6-4421B05EF04F}" name="#" dataDxfId="1494">
      <calculatedColumnFormula>VLOOKUP(Y3,$P$3:$U$27,3,0)</calculatedColumnFormula>
    </tableColumn>
    <tableColumn id="3" xr3:uid="{818A2ED9-AF03-4890-AAE0-19210AB3781C}" name="Name" dataDxfId="1493">
      <calculatedColumnFormula>VLOOKUP(Y3,$P$3:$U$27,4,0)</calculatedColumnFormula>
    </tableColumn>
    <tableColumn id="9" xr3:uid="{002232A3-9BA4-4646-AF26-CC3958A79103}" name="Highest Score" dataDxfId="1492">
      <calculatedColumnFormula>VLOOKUP(Y3,$P$3:$U$27,5,0)</calculatedColumnFormula>
    </tableColumn>
    <tableColumn id="8" xr3:uid="{478E81E0-79A0-499F-87A9-7370EE82DA2C}" name="Lower Score" dataDxfId="1491">
      <calculatedColumnFormula>VLOOKUP(Y3,$P$3:$U$27,6,0)</calculatedColumnFormula>
    </tableColumn>
    <tableColumn id="4" xr3:uid="{30298536-955B-468F-9F7E-82138F404205}" name="Drop Hide" dataDxfId="1490">
      <calculatedColumnFormula>VLOOKUP(Table16101418[[#This Row],['#]],Table27111519[['#]:[Drop]],16,0)</calculatedColumnFormula>
    </tableColumn>
    <tableColumn id="5" xr3:uid="{1857AD23-FAA9-4DA3-A7A1-61BC22FE866B}" name="Count drop hide" dataDxfId="1489">
      <calculatedColumnFormula>COUNTIF($AD$3:AD3,"X")</calculatedColumnFormula>
    </tableColumn>
    <tableColumn id="10" xr3:uid="{E99F3D4F-59F3-42D7-B633-74F26D5BADBE}" name="Column1" dataDxfId="1488">
      <calculatedColumnFormula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calculatedColumnFormula>
    </tableColumn>
    <tableColumn id="11" xr3:uid="{EF9E26AC-6A47-4A0D-84FC-E307D768B52B}" name="Column2" dataDxfId="1487">
      <calculatedColumnFormula>IF(Table16101418[[#This Row],[Drop Hide]]="X",10,"NO")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E5504EC-15D0-4334-B540-B0BCF190A12A}" name="Table27111519" displayName="Table27111519" ref="A2:Q27" totalsRowShown="0">
  <autoFilter ref="A2:Q27" xr:uid="{4653D339-97C3-4478-9F35-60F90639E89B}"/>
  <tableColumns count="17">
    <tableColumn id="1" xr3:uid="{CEE87EAE-A7A8-4651-BDDA-D0AC1BC1E125}" name="Order"/>
    <tableColumn id="2" xr3:uid="{01041487-5FBF-4737-80EF-1FED708C00CF}" name="#">
      <calculatedColumnFormula>VLOOKUP('Round 5'!$A3,INDEX(Entry!$E$2:$U$23,1,'Round 5'!$A$1*2-1):'Entry'!$U$33,18-$A$1*2,0)</calculatedColumnFormula>
    </tableColumn>
    <tableColumn id="3" xr3:uid="{4F26441A-1493-45B3-B631-758E6061A3EF}" name="Name">
      <calculatedColumnFormula>VLOOKUP('Round 5'!$A3,INDEX(Entry!$E$2:$U$23,1,'Round 5'!$A$1*2-1):'Entry'!$U$33,19-$A$1*2,0)</calculatedColumnFormula>
    </tableColumn>
    <tableColumn id="18" xr3:uid="{A30B73CB-EEE5-4F66-9364-81DD152CFEFB}" name="Scrut" dataDxfId="1486"/>
    <tableColumn id="4" xr3:uid="{AE2871CD-D40A-4762-9E79-95B74237F504}" name="R1J1" dataDxfId="1485"/>
    <tableColumn id="5" xr3:uid="{2351D4C6-6EE2-42C3-8C98-8783708500AD}" name="R1J2" dataDxfId="1484"/>
    <tableColumn id="6" xr3:uid="{B1A3B8CC-E49F-4755-A750-D2CF8F37290C}" name="R1J3" dataDxfId="1483"/>
    <tableColumn id="7" xr3:uid="{5A7583A4-3FDF-433D-B1FD-88FB391CCBB2}" name="Q1">
      <calculatedColumnFormula>ROUND(IFERROR(AVERAGE(E3:G3),0),2)</calculatedColumnFormula>
    </tableColumn>
    <tableColumn id="8" xr3:uid="{C9B2EA41-A6A9-4ABA-B5A4-179B239AE1CD}" name="R2J1" dataDxfId="1482"/>
    <tableColumn id="9" xr3:uid="{6061968C-C75F-499E-8FF6-16D9FD1699A9}" name="R2J2" dataDxfId="1481"/>
    <tableColumn id="10" xr3:uid="{45A39412-8C65-426C-8AD7-66B0997256E2}" name="R2J3" dataDxfId="1480"/>
    <tableColumn id="11" xr3:uid="{22277EB6-AE73-49EF-9EA9-FA21CCEAA792}" name="Q2">
      <calculatedColumnFormula>ROUND(IFERROR(AVERAGE(I3:K3),0),2)</calculatedColumnFormula>
    </tableColumn>
    <tableColumn id="12" xr3:uid="{A257310E-F121-4FB2-B990-C9CD5AFA62FA}" name="Max">
      <calculatedColumnFormula>MAX(H3:L3)</calculatedColumnFormula>
    </tableColumn>
    <tableColumn id="13" xr3:uid="{06CFD7CB-DDCA-47F0-801F-7801FD64FA51}" name="Min">
      <calculatedColumnFormula>IF(H3=M3,L3,H3)</calculatedColumnFormula>
    </tableColumn>
    <tableColumn id="14" xr3:uid="{97E87025-23ED-48AB-9DD0-1A9613E7C385}" name="Column4">
      <calculatedColumnFormula>IFERROR(M3+N3/1000+((1000-B3)/1000000),0)</calculatedColumnFormula>
    </tableColumn>
    <tableColumn id="15" xr3:uid="{4A90CE6D-A1B6-4486-8453-ABDC3AEFC1C3}" name="Rank">
      <calculatedColumnFormula>RANK(O3,$O$3:$O$27,0)</calculatedColumnFormula>
    </tableColumn>
    <tableColumn id="17" xr3:uid="{AB021367-384A-46BF-9F53-6561F595FE57}" name="Drop" dataDxfId="147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80B9AF-F522-4871-9F9E-B996AACEAD2E}" name="Table1" displayName="Table1" ref="X2:AG27" totalsRowShown="0">
  <autoFilter ref="X2:AG27" xr:uid="{0A80B9AF-F522-4871-9F9E-B996AACEAD2E}"/>
  <tableColumns count="10">
    <tableColumn id="7" xr3:uid="{4AB56234-872E-4B08-B8CB-0928317EE39A}" name="Hide New Rank" dataDxfId="1603">
      <calculatedColumnFormula>Table1[[#This Row],[Column1]]</calculatedColumnFormula>
    </tableColumn>
    <tableColumn id="1" xr3:uid="{F6B86C2F-C1B3-4AA9-99D4-29E883E2D5F3}" name="Rank"/>
    <tableColumn id="2" xr3:uid="{6AA05ADE-73B5-41CE-BD4D-C91DE0E7AB7E}" name="#" dataDxfId="1602">
      <calculatedColumnFormula>VLOOKUP(Y3,$P$3:$U$27,3,0)</calculatedColumnFormula>
    </tableColumn>
    <tableColumn id="3" xr3:uid="{69BFE3D3-E9B7-4F16-928A-D76B313E33A1}" name="Name" dataDxfId="1601">
      <calculatedColumnFormula>VLOOKUP(Y3,$P$3:$U$27,4,0)</calculatedColumnFormula>
    </tableColumn>
    <tableColumn id="9" xr3:uid="{8ED304B4-76F2-4AE1-BC31-5B3B43B092E0}" name="Highest Score" dataDxfId="1600">
      <calculatedColumnFormula>VLOOKUP(Y3,$P$3:$U$27,5,0)</calculatedColumnFormula>
    </tableColumn>
    <tableColumn id="8" xr3:uid="{CD37D2C1-D280-451E-8DED-6CF17EF0FA08}" name="Lower Score" dataDxfId="1599">
      <calculatedColumnFormula>VLOOKUP(Y3,$P$3:$U$27,6,0)</calculatedColumnFormula>
    </tableColumn>
    <tableColumn id="4" xr3:uid="{C4C7A662-ECDA-4262-A2E6-6FB58A32FE31}" name="Drop Hide" dataDxfId="1598">
      <calculatedColumnFormula>VLOOKUP(Table1[[#This Row],['#]],Table2[['#]:[Drop]],16,0)</calculatedColumnFormula>
    </tableColumn>
    <tableColumn id="5" xr3:uid="{A802FA6E-300B-4E91-9F69-B52CD9CAB495}" name="Count drop hide" dataDxfId="1597">
      <calculatedColumnFormula>COUNTIF($AD$3:AD3,"X")</calculatedColumnFormula>
    </tableColumn>
    <tableColumn id="10" xr3:uid="{076236FA-0C91-403E-8581-A43C0BDDEDFC}" name="Column1" dataDxfId="1596">
      <calculatedColumnFormula>IF(Table1[[#This Row],[Drop Hide]]="X",16+Table1[[#This Row],[Count drop hide]],IF(Table1[[#This Row],[Rank]]-Table1[[#This Row],[Count drop hide]]&gt;16,Table1[[#This Row],[Rank]],Table1[[#This Row],[Rank]]-Table1[[#This Row],[Count drop hide]]))</calculatedColumnFormula>
    </tableColumn>
    <tableColumn id="11" xr3:uid="{8FD67EA6-9504-44AB-B5AF-C9ED3D0CFDD6}" name="Column2" dataDxfId="1595">
      <calculatedColumnFormula>IF(Table1[[#This Row],[Drop Hide]]="X",10,"NO")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A470BE5-C649-41FC-8ECD-52A73244FC57}" name="Table48121620" displayName="Table48121620" ref="AI2:AK18" totalsRowShown="0">
  <autoFilter ref="AI2:AK18" xr:uid="{DAE50CD4-E7CC-4498-837B-29AABCC10495}"/>
  <tableColumns count="3">
    <tableColumn id="1" xr3:uid="{812C3D7D-6487-45CB-9899-2242AC690859}" name="Rank" dataDxfId="1478"/>
    <tableColumn id="2" xr3:uid="{6E1EC9BF-46E2-4A9D-84BA-6301170545C2}" name="#" dataDxfId="1477">
      <calculatedColumnFormula>VLOOKUP(AI3,$X$3:$AA$27,3,0)</calculatedColumnFormula>
    </tableColumn>
    <tableColumn id="3" xr3:uid="{0E95F1FB-E5D1-462B-8763-A09611E47556}" name="Name" dataDxfId="1476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29081E8-02A1-458E-ACAE-8AD59C2F5509}" name="Table59131721" displayName="Table59131721" ref="AD15:AG40" totalsRowShown="0" headerRowDxfId="1475" dataDxfId="1474">
  <autoFilter ref="AD15:AG40" xr:uid="{21BBA437-B171-4E42-AF05-A736CCD17DCF}"/>
  <tableColumns count="4">
    <tableColumn id="1" xr3:uid="{CB30D96C-82E6-48EB-B4C8-4FD8C96BD400}" name="Final" dataDxfId="1473"/>
    <tableColumn id="2" xr3:uid="{12E46804-522A-435F-8C92-EBCDC2F55036}" name="#" dataDxfId="1472">
      <calculatedColumnFormula>VLOOKUP(AD16,[1]!Table3[#All],2,0)</calculatedColumnFormula>
    </tableColumn>
    <tableColumn id="3" xr3:uid="{9A03EF76-FE23-434F-A24B-68A023FA0A44}" name="Nam" dataDxfId="1471">
      <calculatedColumnFormula>VLOOKUP(AD16,[1]!Table3[#All],3,0)</calculatedColumnFormula>
    </tableColumn>
    <tableColumn id="4" xr3:uid="{870AFEF3-D242-406A-9295-F82D4E38753F}" name="Pts" dataDxfId="1470">
      <calculatedColumnFormula>VLOOKUP(Table59131721[[#This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FED8F2B0-FDA8-498A-B29B-4B06D49FCF0B}" name="Table1610141822" displayName="Table1610141822" ref="X2:AG27" totalsRowShown="0">
  <autoFilter ref="X2:AG27" xr:uid="{0A80B9AF-F522-4871-9F9E-B996AACEAD2E}"/>
  <tableColumns count="10">
    <tableColumn id="7" xr3:uid="{C1A33F48-68CE-4463-B0E9-DA6605B6B82E}" name="Hide New Rank" dataDxfId="1469">
      <calculatedColumnFormula>Table1610141822[[#This Row],[Column1]]</calculatedColumnFormula>
    </tableColumn>
    <tableColumn id="1" xr3:uid="{E9B1A4C7-ED57-4157-B332-AC3EDEB5A522}" name="Rank"/>
    <tableColumn id="2" xr3:uid="{D5C18767-46ED-477F-B576-498664E536C8}" name="#" dataDxfId="1468">
      <calculatedColumnFormula>VLOOKUP(Y3,$P$3:$U$27,3,0)</calculatedColumnFormula>
    </tableColumn>
    <tableColumn id="3" xr3:uid="{658EAB59-089F-4ACC-AEF1-95A47C8803CB}" name="Name" dataDxfId="1467">
      <calculatedColumnFormula>VLOOKUP(Y3,$P$3:$U$27,4,0)</calculatedColumnFormula>
    </tableColumn>
    <tableColumn id="9" xr3:uid="{E828783D-BC5A-4F23-97BE-747BCA35E5F4}" name="Highest Score" dataDxfId="1466">
      <calculatedColumnFormula>VLOOKUP(Y3,$P$3:$U$27,5,0)</calculatedColumnFormula>
    </tableColumn>
    <tableColumn id="8" xr3:uid="{9A65C819-BA95-4426-81BC-3C3B1B54EF7F}" name="Lower Score" dataDxfId="1465">
      <calculatedColumnFormula>VLOOKUP(Y3,$P$3:$U$27,6,0)</calculatedColumnFormula>
    </tableColumn>
    <tableColumn id="4" xr3:uid="{306AE7E8-9A5D-4D93-8A3A-28E775E53DA3}" name="Drop Hide" dataDxfId="1464">
      <calculatedColumnFormula>VLOOKUP(Table1610141822[[#This Row],['#]],Table2711151923[['#]:[Drop]],16,0)</calculatedColumnFormula>
    </tableColumn>
    <tableColumn id="5" xr3:uid="{7A7E8C16-626E-4E18-A034-C29A297D9C4E}" name="Count drop hide" dataDxfId="1463">
      <calculatedColumnFormula>COUNTIF($AD$3:AD3,"X")</calculatedColumnFormula>
    </tableColumn>
    <tableColumn id="10" xr3:uid="{1ABD8FE4-47BE-4ED2-9A62-B432B4FE3371}" name="Column1" dataDxfId="1462">
      <calculatedColumnFormula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calculatedColumnFormula>
    </tableColumn>
    <tableColumn id="11" xr3:uid="{CA27B955-7A36-49D2-BE1C-853E5587BBCA}" name="Column2" dataDxfId="1461">
      <calculatedColumnFormula>IF(Table1610141822[[#This Row],[Drop Hide]]="X",10,"NO")</calculatedColumnFormula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1124F20-84CE-451B-842E-3E1CD3CB84C7}" name="Table2711151923" displayName="Table2711151923" ref="A2:Q27" totalsRowShown="0">
  <autoFilter ref="A2:Q27" xr:uid="{4653D339-97C3-4478-9F35-60F90639E89B}"/>
  <tableColumns count="17">
    <tableColumn id="1" xr3:uid="{B40EEC65-AC29-4FEC-A6D2-D33CE27300B2}" name="Order"/>
    <tableColumn id="2" xr3:uid="{32DB103B-7290-4EE4-9600-5C71AB2DCCB0}" name="#">
      <calculatedColumnFormula>VLOOKUP('Round 6'!$A3,INDEX(Entry!$E$2:$U$23,1,'Round 6'!$A$1*2-1):'Entry'!$U$33,18-$A$1*2,0)</calculatedColumnFormula>
    </tableColumn>
    <tableColumn id="3" xr3:uid="{453D5B97-61F9-43F6-A4DD-E8E3023C91B1}" name="Name">
      <calculatedColumnFormula>VLOOKUP('Round 6'!$A3,INDEX(Entry!$E$2:$U$23,1,'Round 6'!$A$1*2-1):'Entry'!$U$33,19-$A$1*2,0)</calculatedColumnFormula>
    </tableColumn>
    <tableColumn id="18" xr3:uid="{68ABB7C1-1EB6-4183-AB02-980F05AFA1BF}" name="Scrut" dataDxfId="1460"/>
    <tableColumn id="4" xr3:uid="{3BC37C10-7F54-48CA-903A-1C14A85CC491}" name="R1J1" dataDxfId="1459"/>
    <tableColumn id="5" xr3:uid="{F092C10A-E4A4-400E-A671-CB3C8B76108E}" name="R1J2" dataDxfId="1458"/>
    <tableColumn id="6" xr3:uid="{57A04F1E-9FCA-4F78-B017-52C52A6FE0CA}" name="R1J3" dataDxfId="1457"/>
    <tableColumn id="7" xr3:uid="{5B394CE6-7F23-4253-A536-D56495504044}" name="Q1">
      <calculatedColumnFormula>ROUND(IFERROR(AVERAGE(E3:G3),0),2)</calculatedColumnFormula>
    </tableColumn>
    <tableColumn id="8" xr3:uid="{CDA96C88-5B4B-4F72-B563-8391CC6DB4E0}" name="R2J1" dataDxfId="1456"/>
    <tableColumn id="9" xr3:uid="{711976A7-D683-42D9-9836-7E29E34DA176}" name="R2J2" dataDxfId="1455"/>
    <tableColumn id="10" xr3:uid="{F271180B-E7DC-454A-AF83-057F31D03043}" name="R2J3" dataDxfId="1454"/>
    <tableColumn id="11" xr3:uid="{491397B4-3EFD-4456-A540-BE85CBBC17F7}" name="Q2">
      <calculatedColumnFormula>ROUND(IFERROR(AVERAGE(I3:K3),0),2)</calculatedColumnFormula>
    </tableColumn>
    <tableColumn id="12" xr3:uid="{6CBF48A0-CCB2-4676-A453-398362A149F2}" name="Max">
      <calculatedColumnFormula>MAX(H3:L3)</calculatedColumnFormula>
    </tableColumn>
    <tableColumn id="13" xr3:uid="{E6897F63-4297-4B9F-BDDA-F0A9D2FE5F02}" name="Min">
      <calculatedColumnFormula>IF(H3=M3,L3,H3)</calculatedColumnFormula>
    </tableColumn>
    <tableColumn id="14" xr3:uid="{C159A8FF-BE6E-4CD0-8803-9BD59731E316}" name="Column4">
      <calculatedColumnFormula>IFERROR(M3+N3/1000+((1000-B3)/1000000),0)</calculatedColumnFormula>
    </tableColumn>
    <tableColumn id="15" xr3:uid="{3292D111-8AD2-41C5-A77E-A7BC08043B54}" name="Rank">
      <calculatedColumnFormula>RANK(O3,$O$3:$O$27,0)</calculatedColumnFormula>
    </tableColumn>
    <tableColumn id="17" xr3:uid="{85CECF6B-8EC6-42FE-8EFE-50012F9D0D52}" name="Drop" dataDxfId="1453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62A7E085-CE95-49E2-8B40-7D02CC67DC78}" name="Table4812162024" displayName="Table4812162024" ref="AI2:AK18" totalsRowShown="0">
  <autoFilter ref="AI2:AK18" xr:uid="{DAE50CD4-E7CC-4498-837B-29AABCC10495}"/>
  <tableColumns count="3">
    <tableColumn id="1" xr3:uid="{2D624EE2-C952-4FBB-B06E-758FAFF8E2BF}" name="Rank" dataDxfId="1452"/>
    <tableColumn id="2" xr3:uid="{118E228F-86A4-425B-8BD8-85C8AF602FDB}" name="#" dataDxfId="1451">
      <calculatedColumnFormula>VLOOKUP(AI3,$X$3:$AA$27,3,0)</calculatedColumnFormula>
    </tableColumn>
    <tableColumn id="3" xr3:uid="{E40F6985-0563-4F53-80C7-C12111A559F0}" name="Name" dataDxfId="1450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639C74-E70A-42AB-9C3D-F09B2CEE192B}" name="Table5913172125" displayName="Table5913172125" ref="AD15:AG40" totalsRowShown="0" headerRowDxfId="1449" dataDxfId="1448">
  <autoFilter ref="AD15:AG40" xr:uid="{21BBA437-B171-4E42-AF05-A736CCD17DCF}"/>
  <tableColumns count="4">
    <tableColumn id="1" xr3:uid="{F7CE1CE3-CBE6-45E8-BC87-E9B0C1CD2313}" name="Final" dataDxfId="1447"/>
    <tableColumn id="2" xr3:uid="{12F28AAD-5187-4A68-8D46-243839A51CFE}" name="#" dataDxfId="1446">
      <calculatedColumnFormula>VLOOKUP(AD16,[1]!Table3[#All],2,0)</calculatedColumnFormula>
    </tableColumn>
    <tableColumn id="3" xr3:uid="{779A4B3D-7824-429A-80FD-DF4ECB8616DF}" name="Nam" dataDxfId="1445">
      <calculatedColumnFormula>VLOOKUP(AD16,[1]!Table3[#All],3,0)</calculatedColumnFormula>
    </tableColumn>
    <tableColumn id="4" xr3:uid="{3F2DE57B-083B-484A-AB72-9BB50F8D1DAF}" name="Pts" dataDxfId="1444">
      <calculatedColumnFormula>VLOOKUP(Table5913172125[[#This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C11521B-962D-49F0-ACC3-53BA777267E6}" name="Table161014182226" displayName="Table161014182226" ref="X2:AG27" totalsRowShown="0">
  <autoFilter ref="X2:AG27" xr:uid="{0A80B9AF-F522-4871-9F9E-B996AACEAD2E}"/>
  <tableColumns count="10">
    <tableColumn id="7" xr3:uid="{28F7C927-A1A6-4800-844D-AAED59872322}" name="Hide New Rank" dataDxfId="1443">
      <calculatedColumnFormula>Table161014182226[[#This Row],[Column1]]</calculatedColumnFormula>
    </tableColumn>
    <tableColumn id="1" xr3:uid="{4CA1943D-341A-4067-B1DC-E847E762944C}" name="Rank"/>
    <tableColumn id="2" xr3:uid="{F2681263-6437-4498-85E0-B4AD90A8E027}" name="#" dataDxfId="1442">
      <calculatedColumnFormula>VLOOKUP(Y3,$P$3:$U$27,3,0)</calculatedColumnFormula>
    </tableColumn>
    <tableColumn id="3" xr3:uid="{34EE60A5-F838-4380-92CD-E672BCB46475}" name="Name" dataDxfId="1441">
      <calculatedColumnFormula>VLOOKUP(Y3,$P$3:$U$27,4,0)</calculatedColumnFormula>
    </tableColumn>
    <tableColumn id="9" xr3:uid="{585F0159-C82C-4992-A90F-38706A53B7FC}" name="Highest Score" dataDxfId="1440">
      <calculatedColumnFormula>VLOOKUP(Y3,$P$3:$U$27,5,0)</calculatedColumnFormula>
    </tableColumn>
    <tableColumn id="8" xr3:uid="{08598C7A-6A22-4320-A8CA-A044457C23E3}" name="Lower Score" dataDxfId="1439">
      <calculatedColumnFormula>VLOOKUP(Y3,$P$3:$U$27,6,0)</calculatedColumnFormula>
    </tableColumn>
    <tableColumn id="4" xr3:uid="{27A4B3CE-7937-4AF7-B78E-90CC59A4A97C}" name="Drop Hide" dataDxfId="1438">
      <calculatedColumnFormula>VLOOKUP(Table161014182226[[#This Row],['#]],Table271115192327[['#]:[Drop]],16,0)</calculatedColumnFormula>
    </tableColumn>
    <tableColumn id="5" xr3:uid="{BA7B0578-A56C-4B50-87EF-E94F17B3F215}" name="Count drop hide" dataDxfId="1437">
      <calculatedColumnFormula>COUNTIF($AD$3:AD3,"X")</calculatedColumnFormula>
    </tableColumn>
    <tableColumn id="10" xr3:uid="{17926B03-81BE-4132-858E-31C839238C77}" name="Column1" dataDxfId="1436">
      <calculatedColumnFormula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calculatedColumnFormula>
    </tableColumn>
    <tableColumn id="11" xr3:uid="{2AD0FD93-323C-4695-8E40-B3E892031EDA}" name="Column2" dataDxfId="1435">
      <calculatedColumnFormula>IF(Table161014182226[[#This Row],[Drop Hide]]="X",10,"NO")</calculatedColumnFormula>
    </tableColumn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93CE8763-C9FD-4CBC-89F7-B122C6EF2F8C}" name="Table271115192327" displayName="Table271115192327" ref="A2:Q27" totalsRowShown="0">
  <autoFilter ref="A2:Q27" xr:uid="{4653D339-97C3-4478-9F35-60F90639E89B}"/>
  <tableColumns count="17">
    <tableColumn id="1" xr3:uid="{1A2DA051-0AAA-4A41-B260-C2D5196DD9B8}" name="Order"/>
    <tableColumn id="2" xr3:uid="{DE5840AB-D7A9-424C-8C81-8432E7455EC1}" name="#">
      <calculatedColumnFormula>VLOOKUP('Round 7'!$A3,INDEX(Entry!$E$2:$U$23,1,'Round 7'!$A$1*2-1):'Entry'!$U$33,18-$A$1*2,0)</calculatedColumnFormula>
    </tableColumn>
    <tableColumn id="3" xr3:uid="{1DC997E2-0DA9-4E71-B0A0-EF5A1DC77ECC}" name="Name">
      <calculatedColumnFormula>VLOOKUP('Round 7'!$A3,INDEX(Entry!$E$2:$U$23,1,'Round 7'!$A$1*2-1):'Entry'!$U$33,19-$A$1*2,0)</calculatedColumnFormula>
    </tableColumn>
    <tableColumn id="18" xr3:uid="{D92414E0-BC64-4B2D-BA95-C34C17FFACBD}" name="Scrut" dataDxfId="1434"/>
    <tableColumn id="4" xr3:uid="{73BC7FD1-7CFF-4AF0-A024-F4A3FCF2EE49}" name="R1J1" dataDxfId="1433"/>
    <tableColumn id="5" xr3:uid="{F8261A0B-87FE-4EEC-A346-8A74EA250B8F}" name="R1J2" dataDxfId="1432"/>
    <tableColumn id="6" xr3:uid="{1FE65645-90A6-4D8F-9C5F-CD77211439A8}" name="R1J3" dataDxfId="1431"/>
    <tableColumn id="7" xr3:uid="{2E545F2F-5A6C-4658-908D-7BBF3D3CDB36}" name="Q1">
      <calculatedColumnFormula>ROUND(IFERROR(AVERAGE(E3:G3),0),2)</calculatedColumnFormula>
    </tableColumn>
    <tableColumn id="8" xr3:uid="{D65F46FE-64C6-4385-8098-791048875DD4}" name="R2J1" dataDxfId="1430"/>
    <tableColumn id="9" xr3:uid="{C0D246F1-4014-4942-821F-03F2AE40F83E}" name="R2J2" dataDxfId="1429"/>
    <tableColumn id="10" xr3:uid="{FD3A5594-F384-488C-90E9-526838093095}" name="R2J3" dataDxfId="1428"/>
    <tableColumn id="11" xr3:uid="{79245FD6-F82F-4FA3-AD70-478A3A3C540C}" name="Q2">
      <calculatedColumnFormula>ROUND(IFERROR(AVERAGE(I3:K3),0),2)</calculatedColumnFormula>
    </tableColumn>
    <tableColumn id="12" xr3:uid="{09E6FD37-C6FA-4FCF-BCC6-E2D373D7E953}" name="Max">
      <calculatedColumnFormula>MAX(H3:L3)</calculatedColumnFormula>
    </tableColumn>
    <tableColumn id="13" xr3:uid="{2702FF91-58A9-4BBB-A691-EC0679236CC1}" name="Min">
      <calculatedColumnFormula>IF(H3=M3,L3,H3)</calculatedColumnFormula>
    </tableColumn>
    <tableColumn id="14" xr3:uid="{9695D0DF-3EA2-47C7-B51B-DF7E7F8099EE}" name="Column4">
      <calculatedColumnFormula>IFERROR(M3+N3/1000+((1000-B3)/1000000),0)</calculatedColumnFormula>
    </tableColumn>
    <tableColumn id="15" xr3:uid="{EF18DA5F-D869-4171-8AAF-E5C9B40BA9DE}" name="Rank">
      <calculatedColumnFormula>RANK(O3,$O$3:$O$27,0)</calculatedColumnFormula>
    </tableColumn>
    <tableColumn id="17" xr3:uid="{3C7F985F-18CB-40B1-8377-14DA1CC1D3DC}" name="Drop" dataDxfId="1427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141447C-26F7-4A51-8E57-C1114EF6D18F}" name="Table481216202428" displayName="Table481216202428" ref="AI2:AK18" totalsRowShown="0">
  <autoFilter ref="AI2:AK18" xr:uid="{DAE50CD4-E7CC-4498-837B-29AABCC10495}"/>
  <tableColumns count="3">
    <tableColumn id="1" xr3:uid="{1A7F548A-52D0-47CE-B050-D894F8CF28EE}" name="Rank" dataDxfId="1426"/>
    <tableColumn id="2" xr3:uid="{51DCAD23-15EE-4E6D-92AE-5C993F6F3244}" name="#" dataDxfId="1425">
      <calculatedColumnFormula>VLOOKUP(AI3,$X$3:$AA$27,3,0)</calculatedColumnFormula>
    </tableColumn>
    <tableColumn id="3" xr3:uid="{2182A953-ABCC-4CF0-AF1F-335FE35239E5}" name="Name" dataDxfId="1424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D1396B8-D5CE-4BEF-A79E-E465DF7A8776}" name="Table591317212529" displayName="Table591317212529" ref="AD15:AG40" totalsRowShown="0" headerRowDxfId="1423" dataDxfId="1422">
  <autoFilter ref="AD15:AG40" xr:uid="{21BBA437-B171-4E42-AF05-A736CCD17DCF}"/>
  <tableColumns count="4">
    <tableColumn id="1" xr3:uid="{F9985350-DCED-4125-A39D-1D5E7336B47D}" name="Final" dataDxfId="1421"/>
    <tableColumn id="2" xr3:uid="{B9517E43-FC52-46B7-A3C5-498E75759949}" name="#" dataDxfId="1420">
      <calculatedColumnFormula>VLOOKUP(AD16,[1]!Table3[#All],2,0)</calculatedColumnFormula>
    </tableColumn>
    <tableColumn id="3" xr3:uid="{AC00BE1C-C882-4705-856A-59E94CA7AD72}" name="Nam" dataDxfId="1419">
      <calculatedColumnFormula>VLOOKUP(AD16,[1]!Table3[#All],3,0)</calculatedColumnFormula>
    </tableColumn>
    <tableColumn id="4" xr3:uid="{06F3FFBE-60DC-4F3D-AB52-C28296FB774F}" name="Pts" dataDxfId="1418">
      <calculatedColumnFormula>VLOOKUP(Table591317212529[[#This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53D339-97C3-4478-9F35-60F90639E89B}" name="Table2" displayName="Table2" ref="A2:Q27" totalsRowShown="0">
  <autoFilter ref="A2:Q27" xr:uid="{4653D339-97C3-4478-9F35-60F90639E89B}"/>
  <tableColumns count="17">
    <tableColumn id="1" xr3:uid="{C9443F85-3712-4D90-9D02-6DB0C59FD77D}" name="Order"/>
    <tableColumn id="2" xr3:uid="{E3DAFE7B-22B8-41F7-BB2B-3BB3E3F8916F}" name="#">
      <calculatedColumnFormula>VLOOKUP('Round 1'!$A3,INDEX(Entry!$E$2:$U$23,1,'Round 1'!$A$1*2-1):'Entry'!$U$33,18-$A$1*2,0)</calculatedColumnFormula>
    </tableColumn>
    <tableColumn id="3" xr3:uid="{16609E0A-68F5-478B-9F29-966B90F7EDCF}" name="Name">
      <calculatedColumnFormula>VLOOKUP('Round 1'!$A3,INDEX(Entry!$E$2:$U$23,1,'Round 1'!$A$1*2-1):'Entry'!$U$33,19-$A$1*2,0)</calculatedColumnFormula>
    </tableColumn>
    <tableColumn id="18" xr3:uid="{7672B745-3DB6-448E-98B2-A3AF230AE66E}" name="Scrut" dataDxfId="1594"/>
    <tableColumn id="4" xr3:uid="{4800127D-3B8F-4AFF-9927-0C569E1081A3}" name="R1J1" dataDxfId="1593"/>
    <tableColumn id="5" xr3:uid="{96A9F917-6C02-4169-91E8-B13E3040B85A}" name="R1J2" dataDxfId="1592"/>
    <tableColumn id="6" xr3:uid="{98ED4BCC-211D-4C84-8CF0-D874D1BFACAC}" name="R1J3" dataDxfId="1591"/>
    <tableColumn id="7" xr3:uid="{DB4657BF-E4E0-419F-AAD1-685C41024CB7}" name="Q1">
      <calculatedColumnFormula>ROUND(IFERROR(AVERAGE(E3:G3),0),2)</calculatedColumnFormula>
    </tableColumn>
    <tableColumn id="8" xr3:uid="{CC800E30-E8BB-4F30-B881-E1E146AD41DE}" name="R2J1" dataDxfId="1590"/>
    <tableColumn id="9" xr3:uid="{0F204439-E131-4623-895A-1340C7422EE0}" name="R2J2" dataDxfId="1589"/>
    <tableColumn id="10" xr3:uid="{3B6B9D3C-975C-48B9-8163-86C9A578BE41}" name="R2J3" dataDxfId="1588"/>
    <tableColumn id="11" xr3:uid="{8B21E28F-1F45-421D-AEDF-D5A3FE1354BB}" name="Q2">
      <calculatedColumnFormula>ROUND(IFERROR(AVERAGE(I3:K3),0),2)</calculatedColumnFormula>
    </tableColumn>
    <tableColumn id="12" xr3:uid="{CF79AA5B-D004-412F-851A-53EDAAF883D5}" name="Max" dataDxfId="1587">
      <calculatedColumnFormula>MAX(H3,L3)</calculatedColumnFormula>
    </tableColumn>
    <tableColumn id="13" xr3:uid="{9925CAC4-50FA-4E37-B554-6BE3818BEBC1}" name="Min">
      <calculatedColumnFormula>IF(H3=M3,L3,H3)</calculatedColumnFormula>
    </tableColumn>
    <tableColumn id="14" xr3:uid="{30768606-C8B6-467D-96F5-946F67DF7EF3}" name="Column4">
      <calculatedColumnFormula>IFERROR(M3+N3/1000+((1000-B3)/1000000),0)</calculatedColumnFormula>
    </tableColumn>
    <tableColumn id="15" xr3:uid="{7EC70B52-1126-42A7-A6B2-2F03BC709B9C}" name="Rank">
      <calculatedColumnFormula>RANK(O3,$O$3:$O$27,0)</calculatedColumnFormula>
    </tableColumn>
    <tableColumn id="17" xr3:uid="{730F8999-496B-41B6-977E-93DA7C2FD219}" name="Drop" dataDxfId="1586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0240361-7998-418E-9280-7AD230BB0535}" name="Table16101418222630" displayName="Table16101418222630" ref="X2:AG27" totalsRowShown="0">
  <autoFilter ref="X2:AG27" xr:uid="{0A80B9AF-F522-4871-9F9E-B996AACEAD2E}"/>
  <tableColumns count="10">
    <tableColumn id="7" xr3:uid="{2026F419-78F6-49D6-9E4D-BDA3CDF04F7B}" name="Hide New Rank" dataDxfId="1417">
      <calculatedColumnFormula>Table16101418222630[[#This Row],[Column1]]</calculatedColumnFormula>
    </tableColumn>
    <tableColumn id="1" xr3:uid="{D5756E9D-1C43-486B-A524-29F402AF0337}" name="Rank"/>
    <tableColumn id="2" xr3:uid="{D12AA493-F0EC-4FC4-8D9D-0825A7604A6E}" name="#" dataDxfId="1416">
      <calculatedColumnFormula>VLOOKUP(Y3,$P$3:$U$27,3,0)</calculatedColumnFormula>
    </tableColumn>
    <tableColumn id="3" xr3:uid="{A9134C21-0B22-4EFE-87DD-6A278A296774}" name="Name" dataDxfId="1415">
      <calculatedColumnFormula>VLOOKUP(Y3,$P$3:$U$27,4,0)</calculatedColumnFormula>
    </tableColumn>
    <tableColumn id="9" xr3:uid="{900FB82D-0738-4902-A041-0B7D43C8DDF6}" name="Highest Score" dataDxfId="1414">
      <calculatedColumnFormula>VLOOKUP(Y3,$P$3:$U$27,5,0)</calculatedColumnFormula>
    </tableColumn>
    <tableColumn id="8" xr3:uid="{63A9EC52-60F0-4D46-B2FB-E9EE56FEAAF9}" name="Lower Score" dataDxfId="1413">
      <calculatedColumnFormula>VLOOKUP(Y3,$P$3:$U$27,6,0)</calculatedColumnFormula>
    </tableColumn>
    <tableColumn id="4" xr3:uid="{E4D7AC64-D620-4FB8-A093-0CB63720E4C2}" name="Drop Hide" dataDxfId="1412">
      <calculatedColumnFormula>VLOOKUP(Table16101418222630[[#This Row],['#]],Table27111519232731[['#]:[Drop]],16,0)</calculatedColumnFormula>
    </tableColumn>
    <tableColumn id="5" xr3:uid="{110C0F11-6773-4364-A8C6-896E1B0CB85B}" name="Count drop hide" dataDxfId="1411">
      <calculatedColumnFormula>COUNTIF($AD$3:AD3,"X")</calculatedColumnFormula>
    </tableColumn>
    <tableColumn id="10" xr3:uid="{A1ADCCB4-9DE9-4006-862E-B11FF875B28C}" name="Column1" dataDxfId="1410">
      <calculatedColumnFormula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calculatedColumnFormula>
    </tableColumn>
    <tableColumn id="11" xr3:uid="{C112A711-072E-4B42-AD5B-BB4EEC4B6DE1}" name="Column2" dataDxfId="1409">
      <calculatedColumnFormula>IF(Table16101418222630[[#This Row],[Drop Hide]]="X",10,"NO")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368D6146-889E-4A04-B0F2-3E210BC476D4}" name="Table27111519232731" displayName="Table27111519232731" ref="A2:Q27" totalsRowShown="0">
  <autoFilter ref="A2:Q27" xr:uid="{4653D339-97C3-4478-9F35-60F90639E89B}"/>
  <tableColumns count="17">
    <tableColumn id="1" xr3:uid="{E0E00B3F-766F-4DF9-A005-74FB5437F45B}" name="Order"/>
    <tableColumn id="2" xr3:uid="{B1D97105-4574-4A6D-A176-CC2DC94C863C}" name="#">
      <calculatedColumnFormula>VLOOKUP('Round 8'!$A3,INDEX(Entry!$E$2:$U$23,1,'Round 8'!$A$1*2-1):'Entry'!$U$33,18-$A$1*2,0)</calculatedColumnFormula>
    </tableColumn>
    <tableColumn id="3" xr3:uid="{66945C55-C4B9-4542-B9A5-61CFA0A8755A}" name="Name">
      <calculatedColumnFormula>VLOOKUP('Round 8'!$A3,INDEX(Entry!$E$2:$U$23,1,'Round 8'!$A$1*2-1):'Entry'!$U$33,19-$A$1*2,0)</calculatedColumnFormula>
    </tableColumn>
    <tableColumn id="18" xr3:uid="{F32ADB01-6B06-4F61-B1C4-F99123D60EA7}" name="Scrut" dataDxfId="1408"/>
    <tableColumn id="4" xr3:uid="{509D9BA0-9DD6-4274-9864-8ABD3D11C582}" name="R1J1" dataDxfId="1407"/>
    <tableColumn id="5" xr3:uid="{5A321121-C1DA-4BF7-8E03-D681F01F8577}" name="R1J2" dataDxfId="1406"/>
    <tableColumn id="6" xr3:uid="{649E5E66-4851-4A3E-8CCB-538C492FCAD9}" name="R1J3" dataDxfId="1405"/>
    <tableColumn id="7" xr3:uid="{29667A4D-5445-40A4-A863-C8BD684CAC58}" name="Q1">
      <calculatedColumnFormula>ROUND(IFERROR(AVERAGE(E3:G3),0),2)</calculatedColumnFormula>
    </tableColumn>
    <tableColumn id="8" xr3:uid="{CA5B957E-E320-4054-A6A3-AA7CB7BFAB5F}" name="R2J1" dataDxfId="1404"/>
    <tableColumn id="9" xr3:uid="{F3BD19A1-881D-484D-B9DC-D535F2A838EB}" name="R2J2" dataDxfId="1403"/>
    <tableColumn id="10" xr3:uid="{B196BCFF-0400-4FFF-B1D1-F024582F651F}" name="R2J3" dataDxfId="1402"/>
    <tableColumn id="11" xr3:uid="{B4B6DF17-3158-4DE1-AB30-D78335688668}" name="Q2">
      <calculatedColumnFormula>ROUND(IFERROR(AVERAGE(I3:K3),0),2)</calculatedColumnFormula>
    </tableColumn>
    <tableColumn id="12" xr3:uid="{C7883B46-156E-4CA3-8330-1CF0C08586D9}" name="Max">
      <calculatedColumnFormula>MAX(H3:L3)</calculatedColumnFormula>
    </tableColumn>
    <tableColumn id="13" xr3:uid="{BEE2C146-31EB-4A6C-987D-F5117E498949}" name="Min">
      <calculatedColumnFormula>IF(H3=M3,L3,H3)</calculatedColumnFormula>
    </tableColumn>
    <tableColumn id="14" xr3:uid="{ED48A287-5746-44FB-BA87-8F3629E4AB38}" name="Column4">
      <calculatedColumnFormula>IFERROR(M3+N3/1000+((1000-B3)/1000000),0)</calculatedColumnFormula>
    </tableColumn>
    <tableColumn id="15" xr3:uid="{24385AD2-9D5C-4EAF-BCEC-B1561D5B7AE8}" name="Rank">
      <calculatedColumnFormula>RANK(O3,$O$3:$O$27,0)</calculatedColumnFormula>
    </tableColumn>
    <tableColumn id="17" xr3:uid="{AC3F9A55-984C-47D5-A3AD-6576D69066C5}" name="Drop" dataDxfId="140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7239BA1-87D5-46CF-A62B-3E8E9306371C}" name="Table48121620242832" displayName="Table48121620242832" ref="AI2:AK18" totalsRowShown="0">
  <autoFilter ref="AI2:AK18" xr:uid="{DAE50CD4-E7CC-4498-837B-29AABCC10495}"/>
  <tableColumns count="3">
    <tableColumn id="1" xr3:uid="{93769385-A7E5-41E7-A471-DAEA06686640}" name="Rank" dataDxfId="1400"/>
    <tableColumn id="2" xr3:uid="{F0E80875-2115-45EC-8DCF-4C80DC9A7E45}" name="#" dataDxfId="1399">
      <calculatedColumnFormula>VLOOKUP(AI3,$X$3:$AA$27,3,0)</calculatedColumnFormula>
    </tableColumn>
    <tableColumn id="3" xr3:uid="{9C752306-A1FB-4765-9143-74BD1159A80B}" name="Name" dataDxfId="1398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C664AE8-FECD-4254-94EB-446FD727A6CA}" name="Table59131721252933" displayName="Table59131721252933" ref="AD15:AG40" totalsRowShown="0" headerRowDxfId="1397" dataDxfId="1396">
  <autoFilter ref="AD15:AG40" xr:uid="{21BBA437-B171-4E42-AF05-A736CCD17DCF}"/>
  <tableColumns count="4">
    <tableColumn id="1" xr3:uid="{47A3CA39-C185-4A07-90CA-164D365DD778}" name="Final" dataDxfId="1395"/>
    <tableColumn id="2" xr3:uid="{916C36DD-ED3A-454E-9890-BE009513C475}" name="#" dataDxfId="1394">
      <calculatedColumnFormula>VLOOKUP(AD16,[1]!Table3[#All],2,0)</calculatedColumnFormula>
    </tableColumn>
    <tableColumn id="3" xr3:uid="{168880AF-69D3-4466-88E2-AB718534C193}" name="Nam" dataDxfId="1393">
      <calculatedColumnFormula>VLOOKUP(AD16,[1]!Table3[#All],3,0)</calculatedColumnFormula>
    </tableColumn>
    <tableColumn id="4" xr3:uid="{E470B4DD-28E2-44BE-8924-29CF0E874710}" name="Pts" dataDxfId="1392">
      <calculatedColumnFormula>VLOOKUP(Table59131721252933[[#This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E50CD4-E7CC-4498-837B-29AABCC10495}" name="Table4" displayName="Table4" ref="AI2:AK18" totalsRowShown="0">
  <autoFilter ref="AI2:AK18" xr:uid="{DAE50CD4-E7CC-4498-837B-29AABCC10495}"/>
  <tableColumns count="3">
    <tableColumn id="1" xr3:uid="{9908CF23-42CA-4D52-A914-6658DAC7A35C}" name="Rank" dataDxfId="1585"/>
    <tableColumn id="2" xr3:uid="{8DE45C9B-172B-4FB8-8E13-CCB2376225BE}" name="#" dataDxfId="1584">
      <calculatedColumnFormula>VLOOKUP(AI3,$X$3:$AA$27,3,0)</calculatedColumnFormula>
    </tableColumn>
    <tableColumn id="3" xr3:uid="{98EB2A7B-CB61-4B90-90A4-621F91A0AE44}" name="Name" dataDxfId="1583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1BBA437-B171-4E42-AF05-A736CCD17DCF}" name="Table5" displayName="Table5" ref="AD15:AG40" totalsRowShown="0" headerRowDxfId="1582" dataDxfId="1581">
  <autoFilter ref="AD15:AG40" xr:uid="{21BBA437-B171-4E42-AF05-A736CCD17DCF}"/>
  <tableColumns count="4">
    <tableColumn id="1" xr3:uid="{5EC83C07-6031-43B5-843A-7F457A96CFCB}" name="Final" dataDxfId="1580"/>
    <tableColumn id="2" xr3:uid="{F7FF7A11-B4DE-4D7E-8A74-31D9F82B0F0C}" name="#" dataDxfId="1579">
      <calculatedColumnFormula>VLOOKUP(AD16,[1]!Table3[#All],2,0)</calculatedColumnFormula>
    </tableColumn>
    <tableColumn id="3" xr3:uid="{7DD8E6B6-5A82-4D54-83F2-639FDB04C0DE}" name="Nam" dataDxfId="1578">
      <calculatedColumnFormula>VLOOKUP(AD16,[1]!Table3[#All],3,0)</calculatedColumnFormula>
    </tableColumn>
    <tableColumn id="4" xr3:uid="{6AB81D4F-E18A-4237-9B45-24676A3E2340}" name="Pts" dataDxfId="1577">
      <calculatedColumnFormula>VLOOKUP(Table5[[#This Row],[Final]],'Round 1'!$X$19:$AG$27,10,0)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CE8E0F-FDAD-4687-BEB9-3C0FEA7347AF}" name="Table16" displayName="Table16" ref="X2:AG27" totalsRowShown="0">
  <autoFilter ref="X2:AG27" xr:uid="{0A80B9AF-F522-4871-9F9E-B996AACEAD2E}"/>
  <tableColumns count="10">
    <tableColumn id="7" xr3:uid="{E33A5F5C-3526-4C56-95F9-58339F2757FC}" name="Hide New Rank" dataDxfId="1576">
      <calculatedColumnFormula>Table16[[#This Row],[Column1]]</calculatedColumnFormula>
    </tableColumn>
    <tableColumn id="1" xr3:uid="{E499D6C5-B94E-4611-8098-07F8E21A5DA7}" name="Rank"/>
    <tableColumn id="2" xr3:uid="{18D1B58A-7365-4EBE-AF3D-38C63A03F1C8}" name="#" dataDxfId="1575">
      <calculatedColumnFormula>VLOOKUP(Y3,$P$3:$U$27,3,0)</calculatedColumnFormula>
    </tableColumn>
    <tableColumn id="3" xr3:uid="{22E93525-C528-417F-8457-11584C0D7D03}" name="Name" dataDxfId="1574">
      <calculatedColumnFormula>VLOOKUP(Y3,$P$3:$U$27,4,0)</calculatedColumnFormula>
    </tableColumn>
    <tableColumn id="9" xr3:uid="{01D269F2-8689-4062-961E-60D042008DBF}" name="Highest Score" dataDxfId="1573">
      <calculatedColumnFormula>VLOOKUP(Y3,$P$3:$U$27,5,0)</calculatedColumnFormula>
    </tableColumn>
    <tableColumn id="8" xr3:uid="{A1922140-D8B5-47B7-9FE8-F03F0EF6EC8C}" name="Lower Score" dataDxfId="1572">
      <calculatedColumnFormula>VLOOKUP(Y3,$P$3:$U$27,6,0)</calculatedColumnFormula>
    </tableColumn>
    <tableColumn id="4" xr3:uid="{DA8D787B-9408-432A-B0CB-DB5C79F8D9D1}" name="Drop Hide" dataDxfId="1571">
      <calculatedColumnFormula>VLOOKUP(Table16[[#This Row],['#]],Table27[['#]:[Drop]],16,0)</calculatedColumnFormula>
    </tableColumn>
    <tableColumn id="5" xr3:uid="{D1CA4824-520E-4899-AC38-255DD0524DCF}" name="Count drop hide" dataDxfId="1570">
      <calculatedColumnFormula>COUNTIF($AD$3:AD3,"X")</calculatedColumnFormula>
    </tableColumn>
    <tableColumn id="10" xr3:uid="{9A8D2DEC-266C-406D-ACDB-7085BED8A316}" name="Column1" dataDxfId="1569">
      <calculatedColumnFormula>IF(Table16[[#This Row],[Drop Hide]]="X",16+Table16[[#This Row],[Count drop hide]],IF(Table16[[#This Row],[Rank]]-Table16[[#This Row],[Count drop hide]]&gt;16,Table16[[#This Row],[Rank]],Table16[[#This Row],[Rank]]-Table16[[#This Row],[Count drop hide]]))</calculatedColumnFormula>
    </tableColumn>
    <tableColumn id="11" xr3:uid="{E647F050-2800-41B4-B1CB-3F6175AEE601}" name="Column2" dataDxfId="1568">
      <calculatedColumnFormula>IF(Table16[[#This Row],[Drop Hide]]="X",10,"NO")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6DBEC29-8577-4426-BA41-2E1768A78955}" name="Table27" displayName="Table27" ref="A2:Q27" totalsRowShown="0">
  <autoFilter ref="A2:Q27" xr:uid="{4653D339-97C3-4478-9F35-60F90639E89B}"/>
  <tableColumns count="17">
    <tableColumn id="1" xr3:uid="{B812F1A1-B120-47FD-BB7E-34B9AAB8CC7D}" name="Order"/>
    <tableColumn id="2" xr3:uid="{0D180A95-1362-4EFB-A47D-E8115A80D2B1}" name="#">
      <calculatedColumnFormula>VLOOKUP('Round 2'!$A3,INDEX(Entry!$E$2:$U$23,1,'Round 2'!$A$1*2-1):'Entry'!$U$33,18-$A$1*2,0)</calculatedColumnFormula>
    </tableColumn>
    <tableColumn id="3" xr3:uid="{C36A74F9-49BD-4A9A-84BE-8D929D8F94D5}" name="Name">
      <calculatedColumnFormula>VLOOKUP('Round 2'!$A3,INDEX(Entry!$E$2:$U$23,1,'Round 2'!$A$1*2-1):'Entry'!$U$33,19-$A$1*2,0)</calculatedColumnFormula>
    </tableColumn>
    <tableColumn id="18" xr3:uid="{7BF7BDA0-9BCA-4E60-A7EC-B57208605205}" name="Scrut" dataDxfId="1567"/>
    <tableColumn id="4" xr3:uid="{BACAFFB7-EF83-4D0D-952A-E63A4AB28A09}" name="R1J1" dataDxfId="1566"/>
    <tableColumn id="5" xr3:uid="{47F84C52-B0E6-423E-BBE9-9C56E778CCAE}" name="R1J2" dataDxfId="1565"/>
    <tableColumn id="6" xr3:uid="{B474D463-52AC-42BE-A0ED-18AED0948416}" name="R1J3" dataDxfId="1564"/>
    <tableColumn id="7" xr3:uid="{7684F1F8-4321-43A0-883E-168F51830D9A}" name="Q1">
      <calculatedColumnFormula>ROUND(IFERROR(AVERAGE(E3:G3),0),2)</calculatedColumnFormula>
    </tableColumn>
    <tableColumn id="8" xr3:uid="{F238BF08-4A80-4759-900E-80FDE77D13D5}" name="R2J1" dataDxfId="1563"/>
    <tableColumn id="9" xr3:uid="{801B8AA6-1C70-482D-9998-563AFD15D035}" name="R2J2" dataDxfId="1562"/>
    <tableColumn id="10" xr3:uid="{961B40AE-D412-406F-9C83-6777CA807A30}" name="R2J3" dataDxfId="1561"/>
    <tableColumn id="11" xr3:uid="{FC605256-6482-43EE-9606-0FD5D138B4D6}" name="Q2">
      <calculatedColumnFormula>ROUND(IFERROR(AVERAGE(I3:K3),0),2)</calculatedColumnFormula>
    </tableColumn>
    <tableColumn id="12" xr3:uid="{A4965C09-58B0-4CA4-9E38-27750F478425}" name="Max" dataDxfId="1560">
      <calculatedColumnFormula>MAX(H3,L3)</calculatedColumnFormula>
    </tableColumn>
    <tableColumn id="13" xr3:uid="{31B096E1-5BF9-488B-B50B-AEC695F15418}" name="Min">
      <calculatedColumnFormula>IF(H3=M3,L3,H3)</calculatedColumnFormula>
    </tableColumn>
    <tableColumn id="14" xr3:uid="{F0D84DD5-5435-43E5-8C95-9DC4C60CBAFB}" name="Column4">
      <calculatedColumnFormula>IFERROR(M3+N3/1000+((1000-B3)/1000000),0)</calculatedColumnFormula>
    </tableColumn>
    <tableColumn id="15" xr3:uid="{E200BA9E-15E8-4B19-9ABF-8CD491E1541D}" name="Rank">
      <calculatedColumnFormula>RANK(O3,$O$3:$O$27,0)</calculatedColumnFormula>
    </tableColumn>
    <tableColumn id="17" xr3:uid="{90AB7974-26BC-4AA5-A8C4-5C87FE02C8A3}" name="Drop" dataDxfId="155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6E09844-5571-4D2A-927D-2FC2F50EBE93}" name="Table48" displayName="Table48" ref="AI2:AK18" totalsRowShown="0">
  <autoFilter ref="AI2:AK18" xr:uid="{DAE50CD4-E7CC-4498-837B-29AABCC10495}"/>
  <tableColumns count="3">
    <tableColumn id="1" xr3:uid="{9CD0FBCB-6B5C-4FC6-93F1-34C64644C85E}" name="Rank" dataDxfId="1558"/>
    <tableColumn id="2" xr3:uid="{9EA62433-A077-405B-8011-5D708D28B096}" name="#" dataDxfId="1557">
      <calculatedColumnFormula>VLOOKUP(AI3,$X$3:$AA$27,3,0)</calculatedColumnFormula>
    </tableColumn>
    <tableColumn id="3" xr3:uid="{BACE4C21-8CFB-4832-8F91-803A3DDE8180}" name="Name" dataDxfId="1556">
      <calculatedColumnFormula>VLOOKUP(AI3,$X$3:$AA$27,4,0)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B99B86C-9E62-4370-828B-3B8D0128FA3F}" name="Table59" displayName="Table59" ref="AD15:AG40" totalsRowShown="0" headerRowDxfId="1555" dataDxfId="1554">
  <autoFilter ref="AD15:AG40" xr:uid="{21BBA437-B171-4E42-AF05-A736CCD17DCF}"/>
  <tableColumns count="4">
    <tableColumn id="1" xr3:uid="{D6B61609-C341-4F1C-B86F-88BFBEBE90C3}" name="Final" dataDxfId="1553"/>
    <tableColumn id="2" xr3:uid="{1CAC81CA-AA4E-43DD-9B60-B91E4C1B6824}" name="#" dataDxfId="1552">
      <calculatedColumnFormula>VLOOKUP(AD16,[1]!Table3[#All],2,0)</calculatedColumnFormula>
    </tableColumn>
    <tableColumn id="3" xr3:uid="{7489B691-704E-49B9-B3F0-46479498894C}" name="Nam" dataDxfId="1551">
      <calculatedColumnFormula>VLOOKUP(AD16,[1]!Table3[#All],3,0)</calculatedColumnFormula>
    </tableColumn>
    <tableColumn id="4" xr3:uid="{2EFE0575-DB5B-4F8C-A059-93000C5F9F86}" name="Pts" dataDxfId="1550">
      <calculatedColumnFormula>VLOOKUP(Table59[[#This Row],[Final]],'Round 1'!$X$19:$AG$27,10,0)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24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2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3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F178-9AE2-4797-8568-E9A234E6F71C}">
  <dimension ref="A1:U132"/>
  <sheetViews>
    <sheetView workbookViewId="0">
      <selection activeCell="H25" sqref="H25"/>
    </sheetView>
  </sheetViews>
  <sheetFormatPr defaultRowHeight="14.4" x14ac:dyDescent="0.3"/>
  <cols>
    <col min="1" max="1" width="4" bestFit="1" customWidth="1"/>
    <col min="2" max="2" width="9" bestFit="1" customWidth="1"/>
    <col min="3" max="3" width="11.5546875" bestFit="1" customWidth="1"/>
    <col min="5" max="5" width="0" hidden="1" customWidth="1"/>
    <col min="7" max="7" width="0" hidden="1" customWidth="1"/>
    <col min="9" max="9" width="0" hidden="1" customWidth="1"/>
    <col min="11" max="11" width="0" hidden="1" customWidth="1"/>
    <col min="13" max="13" width="0" hidden="1" customWidth="1"/>
    <col min="15" max="15" width="0" hidden="1" customWidth="1"/>
    <col min="17" max="17" width="0" hidden="1" customWidth="1"/>
    <col min="19" max="19" width="0" hidden="1" customWidth="1"/>
  </cols>
  <sheetData>
    <row r="1" spans="1:21" x14ac:dyDescent="0.3">
      <c r="D1" t="s">
        <v>43</v>
      </c>
      <c r="E1" t="s">
        <v>51</v>
      </c>
      <c r="F1" t="s">
        <v>44</v>
      </c>
      <c r="G1" t="s">
        <v>52</v>
      </c>
      <c r="H1" t="s">
        <v>45</v>
      </c>
      <c r="I1" t="s">
        <v>53</v>
      </c>
      <c r="J1" t="s">
        <v>46</v>
      </c>
      <c r="K1" t="s">
        <v>54</v>
      </c>
      <c r="L1" t="s">
        <v>47</v>
      </c>
      <c r="M1" t="s">
        <v>55</v>
      </c>
      <c r="N1" t="s">
        <v>48</v>
      </c>
      <c r="O1" t="s">
        <v>56</v>
      </c>
      <c r="P1" t="s">
        <v>49</v>
      </c>
      <c r="Q1" t="s">
        <v>57</v>
      </c>
      <c r="R1" t="s">
        <v>50</v>
      </c>
      <c r="S1" t="s">
        <v>58</v>
      </c>
    </row>
    <row r="2" spans="1:21" x14ac:dyDescent="0.3">
      <c r="A2">
        <v>18</v>
      </c>
      <c r="B2" t="s">
        <v>23</v>
      </c>
      <c r="C2" t="s">
        <v>24</v>
      </c>
      <c r="D2">
        <v>1</v>
      </c>
      <c r="E2">
        <f>IF(ISBLANK(D2),"",SUM(D$2:D2))</f>
        <v>1</v>
      </c>
      <c r="G2" t="str">
        <f>IF(ISBLANK(F2),"",SUM(F$2:F2))</f>
        <v/>
      </c>
      <c r="H2">
        <v>1</v>
      </c>
      <c r="I2">
        <f>IF(ISBLANK(H2),"",SUM(H$2:H2))</f>
        <v>1</v>
      </c>
      <c r="J2">
        <v>1</v>
      </c>
      <c r="K2">
        <f>IF(ISBLANK(J2),"",SUM(J$2:J2))</f>
        <v>1</v>
      </c>
      <c r="M2" t="str">
        <f>IF(ISBLANK(L2),"",SUM(L$2:L2))</f>
        <v/>
      </c>
      <c r="O2" t="str">
        <f>IF(ISBLANK(N2),"",SUM(N$2:N2))</f>
        <v/>
      </c>
      <c r="Q2" t="str">
        <f>IF(ISBLANK(P2),"",SUM(P$2:P2))</f>
        <v/>
      </c>
      <c r="S2" t="str">
        <f>IF(ISBLANK(R2),"",SUM(R$2:R2))</f>
        <v/>
      </c>
      <c r="T2">
        <f>A2</f>
        <v>18</v>
      </c>
      <c r="U2" t="str">
        <f>B2&amp;" "&amp;C2</f>
        <v>Matthew Denham</v>
      </c>
    </row>
    <row r="3" spans="1:21" x14ac:dyDescent="0.3">
      <c r="A3">
        <v>22</v>
      </c>
      <c r="B3" t="s">
        <v>31</v>
      </c>
      <c r="C3" t="s">
        <v>32</v>
      </c>
      <c r="D3">
        <v>1</v>
      </c>
      <c r="E3">
        <f>IF(ISBLANK(D3),"",SUM(D$2:D3))</f>
        <v>2</v>
      </c>
      <c r="F3">
        <v>1</v>
      </c>
      <c r="G3">
        <f>IF(ISBLANK(F3),"",SUM(F$2:F3))</f>
        <v>1</v>
      </c>
      <c r="K3" t="str">
        <f>IF(ISBLANK(J3),"",SUM(J$2:J3))</f>
        <v/>
      </c>
      <c r="M3" t="str">
        <f>IF(ISBLANK(L3),"",SUM(L$2:L3))</f>
        <v/>
      </c>
      <c r="O3" t="str">
        <f>IF(ISBLANK(N3),"",SUM(N$2:N3))</f>
        <v/>
      </c>
      <c r="Q3" t="str">
        <f>IF(ISBLANK(P3),"",SUM(P$2:P3))</f>
        <v/>
      </c>
      <c r="S3" t="str">
        <f>IF(ISBLANK(R3),"",SUM(R$2:R3))</f>
        <v/>
      </c>
      <c r="T3">
        <f t="shared" ref="T3:T25" si="0">A3</f>
        <v>22</v>
      </c>
      <c r="U3" t="str">
        <f t="shared" ref="U3:U25" si="1">B3&amp;" "&amp;C3</f>
        <v>Joel Conlan</v>
      </c>
    </row>
    <row r="4" spans="1:21" x14ac:dyDescent="0.3">
      <c r="A4">
        <v>26</v>
      </c>
      <c r="B4" t="s">
        <v>15</v>
      </c>
      <c r="C4" t="s">
        <v>16</v>
      </c>
      <c r="D4">
        <v>1</v>
      </c>
      <c r="E4">
        <f>IF(ISBLANK(D4),"",SUM(D$2:D4))</f>
        <v>3</v>
      </c>
      <c r="F4">
        <v>1</v>
      </c>
      <c r="G4">
        <f>IF(ISBLANK(F4),"",SUM(F$2:F4))</f>
        <v>2</v>
      </c>
      <c r="H4">
        <v>1</v>
      </c>
      <c r="I4">
        <f>IF(ISBLANK(H4),"",SUM(H$2:H4))</f>
        <v>2</v>
      </c>
      <c r="J4">
        <v>1</v>
      </c>
      <c r="K4">
        <f>IF(ISBLANK(J4),"",SUM(J$2:J4))</f>
        <v>2</v>
      </c>
      <c r="M4" t="str">
        <f>IF(ISBLANK(L4),"",SUM(L$2:L4))</f>
        <v/>
      </c>
      <c r="O4" t="str">
        <f>IF(ISBLANK(N4),"",SUM(N$2:N4))</f>
        <v/>
      </c>
      <c r="Q4" t="str">
        <f>IF(ISBLANK(P4),"",SUM(P$2:P4))</f>
        <v/>
      </c>
      <c r="S4" t="str">
        <f>IF(ISBLANK(R4),"",SUM(R$2:R4))</f>
        <v/>
      </c>
      <c r="T4">
        <f t="shared" si="0"/>
        <v>26</v>
      </c>
      <c r="U4" t="str">
        <f t="shared" si="1"/>
        <v>Haydn Cruickshank</v>
      </c>
    </row>
    <row r="5" spans="1:21" x14ac:dyDescent="0.3">
      <c r="A5">
        <v>39</v>
      </c>
      <c r="B5" t="s">
        <v>8</v>
      </c>
      <c r="C5" t="s">
        <v>9</v>
      </c>
      <c r="D5">
        <v>1</v>
      </c>
      <c r="E5">
        <f>IF(ISBLANK(D5),"",SUM(D$2:D5))</f>
        <v>4</v>
      </c>
      <c r="F5">
        <v>1</v>
      </c>
      <c r="G5">
        <f>IF(ISBLANK(F5),"",SUM(F$2:F5))</f>
        <v>3</v>
      </c>
      <c r="H5">
        <v>1</v>
      </c>
      <c r="I5">
        <f>IF(ISBLANK(H5),"",SUM(H$2:H5))</f>
        <v>3</v>
      </c>
      <c r="J5">
        <v>1</v>
      </c>
      <c r="K5">
        <f>IF(ISBLANK(J5),"",SUM(J$2:J5))</f>
        <v>3</v>
      </c>
      <c r="M5" t="str">
        <f>IF(ISBLANK(L5),"",SUM(L$2:L5))</f>
        <v/>
      </c>
      <c r="O5" t="str">
        <f>IF(ISBLANK(N5),"",SUM(N$2:N5))</f>
        <v/>
      </c>
      <c r="Q5" t="str">
        <f>IF(ISBLANK(P5),"",SUM(P$2:P5))</f>
        <v/>
      </c>
      <c r="S5" t="str">
        <f>IF(ISBLANK(R5),"",SUM(R$2:R5))</f>
        <v/>
      </c>
      <c r="T5">
        <f t="shared" si="0"/>
        <v>39</v>
      </c>
      <c r="U5" t="str">
        <f t="shared" si="1"/>
        <v>Paul Beechey</v>
      </c>
    </row>
    <row r="6" spans="1:21" x14ac:dyDescent="0.3">
      <c r="A6">
        <v>41</v>
      </c>
      <c r="B6" t="s">
        <v>27</v>
      </c>
      <c r="C6" t="s">
        <v>28</v>
      </c>
      <c r="D6">
        <v>1</v>
      </c>
      <c r="E6">
        <f>IF(ISBLANK(D6),"",SUM(D$2:D6))</f>
        <v>5</v>
      </c>
      <c r="F6">
        <v>1</v>
      </c>
      <c r="G6">
        <f>IF(ISBLANK(F6),"",SUM(F$2:F6))</f>
        <v>4</v>
      </c>
      <c r="H6">
        <v>1</v>
      </c>
      <c r="I6">
        <f>IF(ISBLANK(H6),"",SUM(H$2:H6))</f>
        <v>4</v>
      </c>
      <c r="J6">
        <v>1</v>
      </c>
      <c r="K6">
        <f>IF(ISBLANK(J6),"",SUM(J$2:J6))</f>
        <v>4</v>
      </c>
      <c r="M6" t="str">
        <f>IF(ISBLANK(L6),"",SUM(L$2:L6))</f>
        <v/>
      </c>
      <c r="O6" t="str">
        <f>IF(ISBLANK(N6),"",SUM(N$2:N6))</f>
        <v/>
      </c>
      <c r="Q6" t="str">
        <f>IF(ISBLANK(P6),"",SUM(P$2:P6))</f>
        <v/>
      </c>
      <c r="S6" t="str">
        <f>IF(ISBLANK(R6),"",SUM(R$2:R6))</f>
        <v/>
      </c>
      <c r="T6">
        <f t="shared" si="0"/>
        <v>41</v>
      </c>
      <c r="U6" t="str">
        <f t="shared" si="1"/>
        <v>Ian Phillips</v>
      </c>
    </row>
    <row r="7" spans="1:21" x14ac:dyDescent="0.3">
      <c r="A7">
        <v>55</v>
      </c>
      <c r="B7" t="s">
        <v>21</v>
      </c>
      <c r="C7" t="s">
        <v>22</v>
      </c>
      <c r="D7">
        <v>1</v>
      </c>
      <c r="E7">
        <f>IF(ISBLANK(D7),"",SUM(D$2:D7))</f>
        <v>6</v>
      </c>
      <c r="F7">
        <v>1</v>
      </c>
      <c r="G7">
        <f>IF(ISBLANK(F7),"",SUM(F$2:F7))</f>
        <v>5</v>
      </c>
      <c r="H7">
        <v>1</v>
      </c>
      <c r="I7">
        <f>IF(ISBLANK(H7),"",SUM(H$2:H7))</f>
        <v>5</v>
      </c>
      <c r="J7">
        <v>1</v>
      </c>
      <c r="K7">
        <f>IF(ISBLANK(J7),"",SUM(J$2:J7))</f>
        <v>5</v>
      </c>
      <c r="M7" t="str">
        <f>IF(ISBLANK(L7),"",SUM(L$2:L7))</f>
        <v/>
      </c>
      <c r="O7" t="str">
        <f>IF(ISBLANK(N7),"",SUM(N$2:N7))</f>
        <v/>
      </c>
      <c r="Q7" t="str">
        <f>IF(ISBLANK(P7),"",SUM(P$2:P7))</f>
        <v/>
      </c>
      <c r="S7" t="str">
        <f>IF(ISBLANK(R7),"",SUM(R$2:R7))</f>
        <v/>
      </c>
      <c r="T7">
        <f t="shared" si="0"/>
        <v>55</v>
      </c>
      <c r="U7" t="str">
        <f t="shared" si="1"/>
        <v>Oliver Evans</v>
      </c>
    </row>
    <row r="8" spans="1:21" x14ac:dyDescent="0.3">
      <c r="A8">
        <v>56</v>
      </c>
      <c r="B8" t="s">
        <v>12</v>
      </c>
      <c r="C8" t="s">
        <v>13</v>
      </c>
      <c r="D8">
        <v>1</v>
      </c>
      <c r="E8">
        <f>IF(ISBLANK(D8),"",SUM(D$2:D8))</f>
        <v>7</v>
      </c>
      <c r="G8" t="str">
        <f>IF(ISBLANK(F8),"",SUM(F$2:F8))</f>
        <v/>
      </c>
      <c r="H8">
        <v>1</v>
      </c>
      <c r="I8">
        <f>IF(ISBLANK(H8),"",SUM(H$2:H8))</f>
        <v>6</v>
      </c>
      <c r="J8">
        <v>1</v>
      </c>
      <c r="K8">
        <f>IF(ISBLANK(J8),"",SUM(J$2:J8))</f>
        <v>6</v>
      </c>
      <c r="M8" t="str">
        <f>IF(ISBLANK(L8),"",SUM(L$2:L8))</f>
        <v/>
      </c>
      <c r="O8" t="str">
        <f>IF(ISBLANK(N8),"",SUM(N$2:N8))</f>
        <v/>
      </c>
      <c r="Q8" t="str">
        <f>IF(ISBLANK(P8),"",SUM(P$2:P8))</f>
        <v/>
      </c>
      <c r="S8" t="str">
        <f>IF(ISBLANK(R8),"",SUM(R$2:R8))</f>
        <v/>
      </c>
      <c r="T8">
        <f t="shared" si="0"/>
        <v>56</v>
      </c>
      <c r="U8" t="str">
        <f t="shared" si="1"/>
        <v>Jonathan Smith</v>
      </c>
    </row>
    <row r="9" spans="1:21" x14ac:dyDescent="0.3">
      <c r="A9">
        <v>61</v>
      </c>
      <c r="B9" t="s">
        <v>29</v>
      </c>
      <c r="C9" t="s">
        <v>30</v>
      </c>
      <c r="D9">
        <v>1</v>
      </c>
      <c r="E9">
        <f>IF(ISBLANK(D9),"",SUM(D$2:D9))</f>
        <v>8</v>
      </c>
      <c r="F9">
        <v>1</v>
      </c>
      <c r="G9">
        <f>IF(ISBLANK(F9),"",SUM(F$2:F9))</f>
        <v>6</v>
      </c>
      <c r="H9">
        <v>1</v>
      </c>
      <c r="I9">
        <f>IF(ISBLANK(H9),"",SUM(H$2:H9))</f>
        <v>7</v>
      </c>
      <c r="J9">
        <v>1</v>
      </c>
      <c r="K9">
        <f>IF(ISBLANK(J9),"",SUM(J$2:J9))</f>
        <v>7</v>
      </c>
      <c r="M9" t="str">
        <f>IF(ISBLANK(L9),"",SUM(L$2:L9))</f>
        <v/>
      </c>
      <c r="O9" t="str">
        <f>IF(ISBLANK(N9),"",SUM(N$2:N9))</f>
        <v/>
      </c>
      <c r="Q9" t="str">
        <f>IF(ISBLANK(P9),"",SUM(P$2:P9))</f>
        <v/>
      </c>
      <c r="S9" t="str">
        <f>IF(ISBLANK(R9),"",SUM(R$2:R9))</f>
        <v/>
      </c>
      <c r="T9">
        <f t="shared" si="0"/>
        <v>61</v>
      </c>
      <c r="U9" t="str">
        <f t="shared" si="1"/>
        <v>Martin Richards</v>
      </c>
    </row>
    <row r="10" spans="1:21" x14ac:dyDescent="0.3">
      <c r="A10">
        <v>66</v>
      </c>
      <c r="B10" t="s">
        <v>37</v>
      </c>
      <c r="C10" t="s">
        <v>38</v>
      </c>
      <c r="D10">
        <v>1</v>
      </c>
      <c r="E10">
        <f>IF(ISBLANK(D10),"",SUM(D$2:D10))</f>
        <v>9</v>
      </c>
      <c r="F10">
        <v>1</v>
      </c>
      <c r="G10">
        <f>IF(ISBLANK(F10),"",SUM(F$2:F10))</f>
        <v>7</v>
      </c>
      <c r="H10">
        <v>1</v>
      </c>
      <c r="I10">
        <f>IF(ISBLANK(H10),"",SUM(H$2:H10))</f>
        <v>8</v>
      </c>
      <c r="J10">
        <v>1</v>
      </c>
      <c r="K10">
        <f>IF(ISBLANK(J10),"",SUM(J$2:J10))</f>
        <v>8</v>
      </c>
      <c r="M10" t="str">
        <f>IF(ISBLANK(L10),"",SUM(L$2:L10))</f>
        <v/>
      </c>
      <c r="O10" t="str">
        <f>IF(ISBLANK(N10),"",SUM(N$2:N10))</f>
        <v/>
      </c>
      <c r="Q10" t="str">
        <f>IF(ISBLANK(P10),"",SUM(P$2:P10))</f>
        <v/>
      </c>
      <c r="S10" t="str">
        <f>IF(ISBLANK(R10),"",SUM(R$2:R10))</f>
        <v/>
      </c>
      <c r="T10">
        <f t="shared" si="0"/>
        <v>66</v>
      </c>
      <c r="U10" t="str">
        <f t="shared" si="1"/>
        <v>Andy Frost</v>
      </c>
    </row>
    <row r="11" spans="1:21" x14ac:dyDescent="0.3">
      <c r="A11">
        <v>86</v>
      </c>
      <c r="B11" t="s">
        <v>4</v>
      </c>
      <c r="C11" t="s">
        <v>5</v>
      </c>
      <c r="D11">
        <v>1</v>
      </c>
      <c r="E11">
        <f>IF(ISBLANK(D11),"",SUM(D$2:D11))</f>
        <v>10</v>
      </c>
      <c r="F11">
        <v>1</v>
      </c>
      <c r="G11">
        <f>IF(ISBLANK(F11),"",SUM(F$2:F11))</f>
        <v>8</v>
      </c>
      <c r="H11">
        <v>1</v>
      </c>
      <c r="I11">
        <f>IF(ISBLANK(H11),"",SUM(H$2:H11))</f>
        <v>9</v>
      </c>
      <c r="J11">
        <v>1</v>
      </c>
      <c r="K11">
        <f>IF(ISBLANK(J11),"",SUM(J$2:J11))</f>
        <v>9</v>
      </c>
      <c r="M11" t="str">
        <f>IF(ISBLANK(L11),"",SUM(L$2:L11))</f>
        <v/>
      </c>
      <c r="O11" t="str">
        <f>IF(ISBLANK(N11),"",SUM(N$2:N11))</f>
        <v/>
      </c>
      <c r="Q11" t="str">
        <f>IF(ISBLANK(P11),"",SUM(P$2:P11))</f>
        <v/>
      </c>
      <c r="S11" t="str">
        <f>IF(ISBLANK(R11),"",SUM(R$2:R11))</f>
        <v/>
      </c>
      <c r="T11">
        <f t="shared" si="0"/>
        <v>86</v>
      </c>
      <c r="U11" t="str">
        <f t="shared" si="1"/>
        <v>David Bastin</v>
      </c>
    </row>
    <row r="12" spans="1:21" x14ac:dyDescent="0.3">
      <c r="A12">
        <v>93</v>
      </c>
      <c r="B12" t="s">
        <v>41</v>
      </c>
      <c r="C12" t="s">
        <v>42</v>
      </c>
      <c r="D12">
        <v>1</v>
      </c>
      <c r="E12">
        <f>IF(ISBLANK(D12),"",SUM(D$2:D12))</f>
        <v>11</v>
      </c>
      <c r="F12">
        <v>1</v>
      </c>
      <c r="G12">
        <f>IF(ISBLANK(F12),"",SUM(F$2:F12))</f>
        <v>9</v>
      </c>
      <c r="H12">
        <v>1</v>
      </c>
      <c r="I12">
        <f>IF(ISBLANK(H12),"",SUM(H$2:H12))</f>
        <v>10</v>
      </c>
      <c r="J12">
        <v>1</v>
      </c>
      <c r="K12">
        <f>IF(ISBLANK(J12),"",SUM(J$2:J12))</f>
        <v>10</v>
      </c>
      <c r="M12" t="str">
        <f>IF(ISBLANK(L12),"",SUM(L$2:L12))</f>
        <v/>
      </c>
      <c r="O12" t="str">
        <f>IF(ISBLANK(N12),"",SUM(N$2:N12))</f>
        <v/>
      </c>
      <c r="Q12" t="str">
        <f>IF(ISBLANK(P12),"",SUM(P$2:P12))</f>
        <v/>
      </c>
      <c r="S12" t="str">
        <f>IF(ISBLANK(R12),"",SUM(R$2:R12))</f>
        <v/>
      </c>
      <c r="T12">
        <f t="shared" si="0"/>
        <v>93</v>
      </c>
      <c r="U12" t="str">
        <f t="shared" si="1"/>
        <v>Josh King</v>
      </c>
    </row>
    <row r="13" spans="1:21" x14ac:dyDescent="0.3">
      <c r="A13">
        <v>94</v>
      </c>
      <c r="B13" t="s">
        <v>8</v>
      </c>
      <c r="C13" t="s">
        <v>14</v>
      </c>
      <c r="D13">
        <v>1</v>
      </c>
      <c r="E13">
        <f>IF(ISBLANK(D13),"",SUM(D$2:D13))</f>
        <v>12</v>
      </c>
      <c r="F13">
        <v>1</v>
      </c>
      <c r="G13">
        <f>IF(ISBLANK(F13),"",SUM(F$2:F13))</f>
        <v>10</v>
      </c>
      <c r="H13">
        <v>1</v>
      </c>
      <c r="I13">
        <f>IF(ISBLANK(H13),"",SUM(H$2:H13))</f>
        <v>11</v>
      </c>
      <c r="J13">
        <v>1</v>
      </c>
      <c r="K13">
        <f>IF(ISBLANK(J13),"",SUM(J$2:J13))</f>
        <v>11</v>
      </c>
      <c r="M13" t="str">
        <f>IF(ISBLANK(L13),"",SUM(L$2:L13))</f>
        <v/>
      </c>
      <c r="O13" t="str">
        <f>IF(ISBLANK(N13),"",SUM(N$2:N13))</f>
        <v/>
      </c>
      <c r="Q13" t="str">
        <f>IF(ISBLANK(P13),"",SUM(P$2:P13))</f>
        <v/>
      </c>
      <c r="S13" t="str">
        <f>IF(ISBLANK(R13),"",SUM(R$2:R13))</f>
        <v/>
      </c>
      <c r="T13">
        <f t="shared" si="0"/>
        <v>94</v>
      </c>
      <c r="U13" t="str">
        <f t="shared" si="1"/>
        <v>Paul Cunnington</v>
      </c>
    </row>
    <row r="14" spans="1:21" x14ac:dyDescent="0.3">
      <c r="A14">
        <v>112</v>
      </c>
      <c r="B14" t="s">
        <v>10</v>
      </c>
      <c r="C14" t="s">
        <v>11</v>
      </c>
      <c r="D14">
        <v>1</v>
      </c>
      <c r="E14">
        <f>IF(ISBLANK(D14),"",SUM(D$2:D14))</f>
        <v>13</v>
      </c>
      <c r="F14">
        <v>1</v>
      </c>
      <c r="G14">
        <f>IF(ISBLANK(F14),"",SUM(F$2:F14))</f>
        <v>11</v>
      </c>
      <c r="H14">
        <v>1</v>
      </c>
      <c r="I14">
        <f>IF(ISBLANK(H14),"",SUM(H$2:H14))</f>
        <v>12</v>
      </c>
      <c r="J14">
        <v>1</v>
      </c>
      <c r="K14">
        <f>IF(ISBLANK(J14),"",SUM(J$2:J14))</f>
        <v>12</v>
      </c>
      <c r="M14" t="str">
        <f>IF(ISBLANK(L14),"",SUM(L$2:L14))</f>
        <v/>
      </c>
      <c r="O14" t="str">
        <f>IF(ISBLANK(N14),"",SUM(N$2:N14))</f>
        <v/>
      </c>
      <c r="Q14" t="str">
        <f>IF(ISBLANK(P14),"",SUM(P$2:P14))</f>
        <v/>
      </c>
      <c r="S14" t="str">
        <f>IF(ISBLANK(R14),"",SUM(R$2:R14))</f>
        <v/>
      </c>
      <c r="T14">
        <f t="shared" si="0"/>
        <v>112</v>
      </c>
      <c r="U14" t="str">
        <f t="shared" si="1"/>
        <v>Nathan Chivers</v>
      </c>
    </row>
    <row r="15" spans="1:21" x14ac:dyDescent="0.3">
      <c r="A15">
        <v>128</v>
      </c>
      <c r="B15" t="s">
        <v>19</v>
      </c>
      <c r="C15" t="s">
        <v>20</v>
      </c>
      <c r="D15">
        <v>1</v>
      </c>
      <c r="E15">
        <f>IF(ISBLANK(D15),"",SUM(D$2:D15))</f>
        <v>14</v>
      </c>
      <c r="F15">
        <v>1</v>
      </c>
      <c r="G15">
        <f>IF(ISBLANK(F15),"",SUM(F$2:F15))</f>
        <v>12</v>
      </c>
      <c r="H15">
        <v>1</v>
      </c>
      <c r="I15">
        <f>IF(ISBLANK(H15),"",SUM(H$2:H15))</f>
        <v>13</v>
      </c>
      <c r="J15">
        <v>1</v>
      </c>
      <c r="K15">
        <f>IF(ISBLANK(J15),"",SUM(J$2:J15))</f>
        <v>13</v>
      </c>
      <c r="M15" t="str">
        <f>IF(ISBLANK(L15),"",SUM(L$2:L15))</f>
        <v/>
      </c>
      <c r="O15" t="str">
        <f>IF(ISBLANK(N15),"",SUM(N$2:N15))</f>
        <v/>
      </c>
      <c r="Q15" t="str">
        <f>IF(ISBLANK(P15),"",SUM(P$2:P15))</f>
        <v/>
      </c>
      <c r="S15" t="str">
        <f>IF(ISBLANK(R15),"",SUM(R$2:R15))</f>
        <v/>
      </c>
      <c r="T15">
        <f t="shared" si="0"/>
        <v>128</v>
      </c>
      <c r="U15" t="str">
        <f t="shared" si="1"/>
        <v>Lwi Edwards</v>
      </c>
    </row>
    <row r="16" spans="1:21" x14ac:dyDescent="0.3">
      <c r="A16">
        <v>147</v>
      </c>
      <c r="B16" t="s">
        <v>35</v>
      </c>
      <c r="C16" t="s">
        <v>36</v>
      </c>
      <c r="D16">
        <v>1</v>
      </c>
      <c r="E16">
        <f>IF(ISBLANK(D16),"",SUM(D$2:D16))</f>
        <v>15</v>
      </c>
      <c r="F16">
        <v>1</v>
      </c>
      <c r="G16">
        <f>IF(ISBLANK(F16),"",SUM(F$2:F16))</f>
        <v>13</v>
      </c>
      <c r="H16">
        <v>1</v>
      </c>
      <c r="I16">
        <f>IF(ISBLANK(H16),"",SUM(H$2:H16))</f>
        <v>14</v>
      </c>
      <c r="J16">
        <v>1</v>
      </c>
      <c r="K16">
        <f>IF(ISBLANK(J16),"",SUM(J$2:J16))</f>
        <v>14</v>
      </c>
      <c r="M16" t="str">
        <f>IF(ISBLANK(L16),"",SUM(L$2:L16))</f>
        <v/>
      </c>
      <c r="O16" t="str">
        <f>IF(ISBLANK(N16),"",SUM(N$2:N16))</f>
        <v/>
      </c>
      <c r="Q16" t="str">
        <f>IF(ISBLANK(P16),"",SUM(P$2:P16))</f>
        <v/>
      </c>
      <c r="S16" t="str">
        <f>IF(ISBLANK(R16),"",SUM(R$2:R16))</f>
        <v/>
      </c>
      <c r="T16">
        <f t="shared" si="0"/>
        <v>147</v>
      </c>
      <c r="U16" t="str">
        <f t="shared" si="1"/>
        <v>Richie Gilbey</v>
      </c>
    </row>
    <row r="17" spans="1:21" x14ac:dyDescent="0.3">
      <c r="A17">
        <v>157</v>
      </c>
      <c r="B17" t="s">
        <v>0</v>
      </c>
      <c r="C17" t="s">
        <v>1</v>
      </c>
      <c r="D17">
        <v>1</v>
      </c>
      <c r="E17">
        <f>IF(ISBLANK(D17),"",SUM(D$2:D17))</f>
        <v>16</v>
      </c>
      <c r="G17" t="str">
        <f>IF(ISBLANK(F17),"",SUM(F$2:F17))</f>
        <v/>
      </c>
      <c r="H17">
        <v>1</v>
      </c>
      <c r="I17">
        <f>IF(ISBLANK(H17),"",SUM(H$2:H17))</f>
        <v>15</v>
      </c>
      <c r="J17">
        <v>1</v>
      </c>
      <c r="K17">
        <f>IF(ISBLANK(J17),"",SUM(J$2:J17))</f>
        <v>15</v>
      </c>
      <c r="M17" t="str">
        <f>IF(ISBLANK(L17),"",SUM(L$2:L17))</f>
        <v/>
      </c>
      <c r="O17" t="str">
        <f>IF(ISBLANK(N17),"",SUM(N$2:N17))</f>
        <v/>
      </c>
      <c r="Q17" t="str">
        <f>IF(ISBLANK(P17),"",SUM(P$2:P17))</f>
        <v/>
      </c>
      <c r="S17" t="str">
        <f>IF(ISBLANK(R17),"",SUM(R$2:R17))</f>
        <v/>
      </c>
      <c r="T17">
        <f t="shared" si="0"/>
        <v>157</v>
      </c>
      <c r="U17" t="str">
        <f t="shared" si="1"/>
        <v>George Barclay</v>
      </c>
    </row>
    <row r="18" spans="1:21" x14ac:dyDescent="0.3">
      <c r="A18">
        <v>191</v>
      </c>
      <c r="B18" t="s">
        <v>33</v>
      </c>
      <c r="C18" t="s">
        <v>34</v>
      </c>
      <c r="E18" t="str">
        <f>IF(ISBLANK(D18),"",SUM(D$2:D18))</f>
        <v/>
      </c>
      <c r="G18" t="str">
        <f>IF(ISBLANK(F18),"",SUM(F$2:F18))</f>
        <v/>
      </c>
      <c r="K18" t="str">
        <f>IF(ISBLANK(J18),"",SUM(J$2:J18))</f>
        <v/>
      </c>
      <c r="M18" t="str">
        <f>IF(ISBLANK(L18),"",SUM(L$2:L18))</f>
        <v/>
      </c>
      <c r="O18" t="str">
        <f>IF(ISBLANK(N18),"",SUM(N$2:N18))</f>
        <v/>
      </c>
      <c r="Q18" t="str">
        <f>IF(ISBLANK(P18),"",SUM(P$2:P18))</f>
        <v/>
      </c>
      <c r="S18" t="str">
        <f>IF(ISBLANK(R18),"",SUM(R$2:R18))</f>
        <v/>
      </c>
      <c r="T18">
        <f t="shared" si="0"/>
        <v>191</v>
      </c>
      <c r="U18" t="str">
        <f t="shared" si="1"/>
        <v>Olly Bolton</v>
      </c>
    </row>
    <row r="19" spans="1:21" x14ac:dyDescent="0.3">
      <c r="A19">
        <v>265</v>
      </c>
      <c r="B19" t="s">
        <v>25</v>
      </c>
      <c r="C19" t="s">
        <v>26</v>
      </c>
      <c r="D19">
        <v>1</v>
      </c>
      <c r="E19">
        <f>IF(ISBLANK(D19),"",SUM(D$2:D19))</f>
        <v>17</v>
      </c>
      <c r="F19">
        <v>1</v>
      </c>
      <c r="G19">
        <f>IF(ISBLANK(F19),"",SUM(F$2:F19))</f>
        <v>14</v>
      </c>
      <c r="H19">
        <v>1</v>
      </c>
      <c r="I19">
        <f>IF(ISBLANK(H19),"",SUM(H$2:H19))</f>
        <v>16</v>
      </c>
      <c r="J19">
        <v>1</v>
      </c>
      <c r="K19">
        <f>IF(ISBLANK(J19),"",SUM(J$2:J19))</f>
        <v>16</v>
      </c>
      <c r="M19" t="str">
        <f>IF(ISBLANK(L19),"",SUM(L$2:L19))</f>
        <v/>
      </c>
      <c r="O19" t="str">
        <f>IF(ISBLANK(N19),"",SUM(N$2:N19))</f>
        <v/>
      </c>
      <c r="Q19" t="str">
        <f>IF(ISBLANK(P19),"",SUM(P$2:P19))</f>
        <v/>
      </c>
      <c r="S19" t="str">
        <f>IF(ISBLANK(R19),"",SUM(R$2:R19))</f>
        <v/>
      </c>
      <c r="T19">
        <f t="shared" si="0"/>
        <v>265</v>
      </c>
      <c r="U19" t="str">
        <f t="shared" si="1"/>
        <v>Axel Hildebrand</v>
      </c>
    </row>
    <row r="20" spans="1:21" x14ac:dyDescent="0.3">
      <c r="A20">
        <v>353</v>
      </c>
      <c r="B20" t="s">
        <v>2</v>
      </c>
      <c r="C20" t="s">
        <v>3</v>
      </c>
      <c r="E20" t="str">
        <f>IF(ISBLANK(D20),"",SUM(D$2:D20))</f>
        <v/>
      </c>
      <c r="G20" t="str">
        <f>IF(ISBLANK(F20),"",SUM(F$2:F20))</f>
        <v/>
      </c>
      <c r="H20">
        <v>1</v>
      </c>
      <c r="I20">
        <f>IF(ISBLANK(H20),"",SUM(H$2:H20))</f>
        <v>17</v>
      </c>
      <c r="J20">
        <v>1</v>
      </c>
      <c r="K20">
        <f>IF(ISBLANK(J20),"",SUM(J$2:J20))</f>
        <v>17</v>
      </c>
      <c r="M20" t="str">
        <f>IF(ISBLANK(L20),"",SUM(L$2:L20))</f>
        <v/>
      </c>
      <c r="O20" t="str">
        <f>IF(ISBLANK(N20),"",SUM(N$2:N20))</f>
        <v/>
      </c>
      <c r="Q20" t="str">
        <f>IF(ISBLANK(P20),"",SUM(P$2:P20))</f>
        <v/>
      </c>
      <c r="S20" t="str">
        <f>IF(ISBLANK(R20),"",SUM(R$2:R20))</f>
        <v/>
      </c>
      <c r="T20">
        <f t="shared" si="0"/>
        <v>353</v>
      </c>
      <c r="U20" t="str">
        <f t="shared" si="1"/>
        <v>Liam Lawrence</v>
      </c>
    </row>
    <row r="21" spans="1:21" x14ac:dyDescent="0.3">
      <c r="A21">
        <v>366</v>
      </c>
      <c r="B21" t="s">
        <v>39</v>
      </c>
      <c r="C21" t="s">
        <v>40</v>
      </c>
      <c r="D21">
        <v>1</v>
      </c>
      <c r="E21">
        <f>IF(ISBLANK(D21),"",SUM(D$2:D21))</f>
        <v>18</v>
      </c>
      <c r="F21">
        <v>1</v>
      </c>
      <c r="G21">
        <f>IF(ISBLANK(F21),"",SUM(F$2:F21))</f>
        <v>15</v>
      </c>
      <c r="K21" t="str">
        <f>IF(ISBLANK(J21),"",SUM(J$2:J21))</f>
        <v/>
      </c>
      <c r="M21" t="str">
        <f>IF(ISBLANK(L21),"",SUM(L$2:L21))</f>
        <v/>
      </c>
      <c r="O21" t="str">
        <f>IF(ISBLANK(N21),"",SUM(N$2:N21))</f>
        <v/>
      </c>
      <c r="Q21" t="str">
        <f>IF(ISBLANK(P21),"",SUM(P$2:P21))</f>
        <v/>
      </c>
      <c r="S21" t="str">
        <f>IF(ISBLANK(R21),"",SUM(R$2:R21))</f>
        <v/>
      </c>
      <c r="T21">
        <f t="shared" si="0"/>
        <v>366</v>
      </c>
      <c r="U21" t="str">
        <f t="shared" si="1"/>
        <v>Micheal Bennett</v>
      </c>
    </row>
    <row r="22" spans="1:21" x14ac:dyDescent="0.3">
      <c r="A22">
        <v>420</v>
      </c>
      <c r="B22" t="s">
        <v>17</v>
      </c>
      <c r="C22" t="s">
        <v>18</v>
      </c>
      <c r="D22">
        <v>1</v>
      </c>
      <c r="E22">
        <f>IF(ISBLANK(D22),"",SUM(D$2:D22))</f>
        <v>19</v>
      </c>
      <c r="F22">
        <v>1</v>
      </c>
      <c r="G22">
        <f>IF(ISBLANK(F22),"",SUM(F$2:F22))</f>
        <v>16</v>
      </c>
      <c r="H22">
        <v>1</v>
      </c>
      <c r="I22">
        <f>IF(ISBLANK(H22),"",SUM(H$2:H22))</f>
        <v>18</v>
      </c>
      <c r="J22">
        <v>1</v>
      </c>
      <c r="K22">
        <f>IF(ISBLANK(J22),"",SUM(J$2:J22))</f>
        <v>18</v>
      </c>
      <c r="M22" t="str">
        <f>IF(ISBLANK(L22),"",SUM(L$2:L22))</f>
        <v/>
      </c>
      <c r="O22" t="str">
        <f>IF(ISBLANK(N22),"",SUM(N$2:N22))</f>
        <v/>
      </c>
      <c r="Q22" t="str">
        <f>IF(ISBLANK(P22),"",SUM(P$2:P22))</f>
        <v/>
      </c>
      <c r="S22" t="str">
        <f>IF(ISBLANK(R22),"",SUM(R$2:R22))</f>
        <v/>
      </c>
      <c r="T22">
        <f t="shared" si="0"/>
        <v>420</v>
      </c>
      <c r="U22" t="str">
        <f t="shared" si="1"/>
        <v>Harry Love</v>
      </c>
    </row>
    <row r="23" spans="1:21" x14ac:dyDescent="0.3">
      <c r="A23">
        <v>666</v>
      </c>
      <c r="B23" t="s">
        <v>6</v>
      </c>
      <c r="C23" t="s">
        <v>7</v>
      </c>
      <c r="D23">
        <v>1</v>
      </c>
      <c r="E23">
        <f>IF(ISBLANK(D23),"",SUM(D$2:D23))</f>
        <v>20</v>
      </c>
      <c r="F23">
        <v>1</v>
      </c>
      <c r="G23">
        <f>IF(ISBLANK(F23),"",SUM(F$2:F23))</f>
        <v>17</v>
      </c>
      <c r="K23" t="str">
        <f>IF(ISBLANK(J23),"",SUM(J$2:J23))</f>
        <v/>
      </c>
      <c r="M23" t="str">
        <f>IF(ISBLANK(L23),"",SUM(L$2:L23))</f>
        <v/>
      </c>
      <c r="O23" t="str">
        <f>IF(ISBLANK(N23),"",SUM(N$2:N23))</f>
        <v/>
      </c>
      <c r="Q23" t="str">
        <f>IF(ISBLANK(P23),"",SUM(P$2:P23))</f>
        <v/>
      </c>
      <c r="S23" t="str">
        <f>IF(ISBLANK(R23),"",SUM(R$2:R23))</f>
        <v/>
      </c>
      <c r="T23">
        <f t="shared" si="0"/>
        <v>666</v>
      </c>
      <c r="U23" t="str">
        <f t="shared" si="1"/>
        <v>Ryan Toporowski</v>
      </c>
    </row>
    <row r="24" spans="1:21" x14ac:dyDescent="0.3">
      <c r="A24">
        <v>20</v>
      </c>
      <c r="B24" t="s">
        <v>6</v>
      </c>
      <c r="C24" t="s">
        <v>107</v>
      </c>
      <c r="E24" t="str">
        <f>IF(ISBLANK(D24),"",SUM(D$2:D24))</f>
        <v/>
      </c>
      <c r="G24" t="str">
        <f>IF(ISBLANK(F24),"",SUM(F$2:F24))</f>
        <v/>
      </c>
      <c r="H24">
        <v>1</v>
      </c>
      <c r="I24">
        <f>IF(ISBLANK(H24),"",SUM(H$2:H24))</f>
        <v>19</v>
      </c>
      <c r="J24">
        <v>1</v>
      </c>
      <c r="K24">
        <f>IF(ISBLANK(J24),"",SUM(J$2:J24))</f>
        <v>19</v>
      </c>
      <c r="M24" t="str">
        <f>IF(ISBLANK(L24),"",SUM(L$2:L24))</f>
        <v/>
      </c>
      <c r="O24" t="str">
        <f>IF(ISBLANK(N24),"",SUM(N$2:N24))</f>
        <v/>
      </c>
      <c r="Q24" t="str">
        <f>IF(ISBLANK(P24),"",SUM(P$2:P24))</f>
        <v/>
      </c>
      <c r="S24" t="str">
        <f>IF(ISBLANK(R24),"",SUM(R$2:R24))</f>
        <v/>
      </c>
      <c r="T24">
        <f t="shared" si="0"/>
        <v>20</v>
      </c>
      <c r="U24" t="str">
        <f t="shared" si="1"/>
        <v>Ryan Hughes</v>
      </c>
    </row>
    <row r="25" spans="1:21" x14ac:dyDescent="0.3">
      <c r="A25">
        <v>206</v>
      </c>
      <c r="B25" t="s">
        <v>23</v>
      </c>
      <c r="C25" t="s">
        <v>108</v>
      </c>
      <c r="E25" t="str">
        <f>IF(ISBLANK(D25),"",SUM(D$2:D25))</f>
        <v/>
      </c>
      <c r="G25" t="str">
        <f>IF(ISBLANK(F25),"",SUM(F$2:F25))</f>
        <v/>
      </c>
      <c r="H25">
        <v>1</v>
      </c>
      <c r="I25">
        <f>IF(ISBLANK(H25),"",SUM(H$2:H25))</f>
        <v>20</v>
      </c>
      <c r="J25">
        <v>1</v>
      </c>
      <c r="K25">
        <f>IF(ISBLANK(J25),"",SUM(J$2:J25))</f>
        <v>20</v>
      </c>
      <c r="M25" t="str">
        <f>IF(ISBLANK(L25),"",SUM(L$2:L25))</f>
        <v/>
      </c>
      <c r="O25" t="str">
        <f>IF(ISBLANK(N25),"",SUM(N$2:N25))</f>
        <v/>
      </c>
      <c r="Q25" t="str">
        <f>IF(ISBLANK(P25),"",SUM(P$2:P25))</f>
        <v/>
      </c>
      <c r="S25" t="str">
        <f>IF(ISBLANK(R25),"",SUM(R$2:R25))</f>
        <v/>
      </c>
      <c r="T25">
        <f t="shared" si="0"/>
        <v>206</v>
      </c>
      <c r="U25" t="str">
        <f t="shared" si="1"/>
        <v>Matthew Roberts</v>
      </c>
    </row>
    <row r="26" spans="1:21" x14ac:dyDescent="0.3">
      <c r="E26" t="str">
        <f>IF(ISBLANK(D26),"",SUM(D$2:D26))</f>
        <v/>
      </c>
      <c r="G26" t="str">
        <f>IF(ISBLANK(F26),"",SUM(F$2:F26))</f>
        <v/>
      </c>
      <c r="I26" t="str">
        <f>IF(ISBLANK(H26),"",SUM(H$2:H26))</f>
        <v/>
      </c>
      <c r="K26" t="str">
        <f>IF(ISBLANK(J26),"",SUM(J$2:J26))</f>
        <v/>
      </c>
      <c r="M26" t="str">
        <f>IF(ISBLANK(L26),"",SUM(L$2:L26))</f>
        <v/>
      </c>
      <c r="O26" t="str">
        <f>IF(ISBLANK(N26),"",SUM(N$2:N26))</f>
        <v/>
      </c>
      <c r="Q26" t="str">
        <f>IF(ISBLANK(P26),"",SUM(P$2:P26))</f>
        <v/>
      </c>
      <c r="S26" t="str">
        <f>IF(ISBLANK(R26),"",SUM(R$2:R26))</f>
        <v/>
      </c>
    </row>
    <row r="27" spans="1:21" x14ac:dyDescent="0.3">
      <c r="E27" t="str">
        <f>IF(ISBLANK(D27),"",SUM(D$2:D27))</f>
        <v/>
      </c>
      <c r="G27" t="str">
        <f>IF(ISBLANK(F27),"",SUM(F$2:F27))</f>
        <v/>
      </c>
      <c r="I27" t="str">
        <f>IF(ISBLANK(H27),"",SUM(H$2:H27))</f>
        <v/>
      </c>
      <c r="K27" t="str">
        <f>IF(ISBLANK(J27),"",SUM(J$2:J27))</f>
        <v/>
      </c>
      <c r="M27" t="str">
        <f>IF(ISBLANK(L27),"",SUM(L$2:L27))</f>
        <v/>
      </c>
      <c r="O27" t="str">
        <f>IF(ISBLANK(N27),"",SUM(N$2:N27))</f>
        <v/>
      </c>
      <c r="Q27" t="str">
        <f>IF(ISBLANK(P27),"",SUM(P$2:P27))</f>
        <v/>
      </c>
      <c r="S27" t="str">
        <f>IF(ISBLANK(R27),"",SUM(R$2:R27))</f>
        <v/>
      </c>
    </row>
    <row r="28" spans="1:21" x14ac:dyDescent="0.3">
      <c r="E28" t="str">
        <f>IF(ISBLANK(D28),"",SUM(D$2:D28))</f>
        <v/>
      </c>
      <c r="G28" t="str">
        <f>IF(ISBLANK(F28),"",SUM(F$2:F28))</f>
        <v/>
      </c>
      <c r="I28" t="str">
        <f>IF(ISBLANK(H28),"",SUM(H$2:H28))</f>
        <v/>
      </c>
      <c r="K28" t="str">
        <f>IF(ISBLANK(J28),"",SUM(J$2:J28))</f>
        <v/>
      </c>
      <c r="M28" t="str">
        <f>IF(ISBLANK(L28),"",SUM(L$2:L28))</f>
        <v/>
      </c>
      <c r="O28" t="str">
        <f>IF(ISBLANK(N28),"",SUM(N$2:N28))</f>
        <v/>
      </c>
      <c r="Q28" t="str">
        <f>IF(ISBLANK(P28),"",SUM(P$2:P28))</f>
        <v/>
      </c>
      <c r="S28" t="str">
        <f>IF(ISBLANK(R28),"",SUM(R$2:R28))</f>
        <v/>
      </c>
    </row>
    <row r="29" spans="1:21" x14ac:dyDescent="0.3">
      <c r="E29" t="str">
        <f>IF(ISBLANK(D29),"",SUM(D$2:D29))</f>
        <v/>
      </c>
      <c r="G29" t="str">
        <f>IF(ISBLANK(F29),"",SUM(F$2:F29))</f>
        <v/>
      </c>
      <c r="I29" t="str">
        <f>IF(ISBLANK(H29),"",SUM(H$2:H29))</f>
        <v/>
      </c>
      <c r="K29" t="str">
        <f>IF(ISBLANK(J29),"",SUM(J$2:J29))</f>
        <v/>
      </c>
      <c r="M29" t="str">
        <f>IF(ISBLANK(L29),"",SUM(L$2:L29))</f>
        <v/>
      </c>
      <c r="O29" t="str">
        <f>IF(ISBLANK(N29),"",SUM(N$2:N29))</f>
        <v/>
      </c>
      <c r="Q29" t="str">
        <f>IF(ISBLANK(P29),"",SUM(P$2:P29))</f>
        <v/>
      </c>
      <c r="S29" t="str">
        <f>IF(ISBLANK(R29),"",SUM(R$2:R29))</f>
        <v/>
      </c>
    </row>
    <row r="30" spans="1:21" x14ac:dyDescent="0.3">
      <c r="E30" t="str">
        <f>IF(ISBLANK(D30),"",SUM(D$2:D30))</f>
        <v/>
      </c>
      <c r="G30" t="str">
        <f>IF(ISBLANK(F30),"",SUM(F$2:F30))</f>
        <v/>
      </c>
      <c r="I30" t="str">
        <f>IF(ISBLANK(H30),"",SUM(H$2:H30))</f>
        <v/>
      </c>
      <c r="K30" t="str">
        <f>IF(ISBLANK(J30),"",SUM(J$2:J30))</f>
        <v/>
      </c>
      <c r="M30" t="str">
        <f>IF(ISBLANK(L30),"",SUM(L$2:L30))</f>
        <v/>
      </c>
      <c r="O30" t="str">
        <f>IF(ISBLANK(N30),"",SUM(N$2:N30))</f>
        <v/>
      </c>
      <c r="Q30" t="str">
        <f>IF(ISBLANK(P30),"",SUM(P$2:P30))</f>
        <v/>
      </c>
      <c r="S30" t="str">
        <f>IF(ISBLANK(R30),"",SUM(R$2:R30))</f>
        <v/>
      </c>
    </row>
    <row r="31" spans="1:21" x14ac:dyDescent="0.3">
      <c r="E31" t="str">
        <f>IF(ISBLANK(D31),"",SUM(D$2:D31))</f>
        <v/>
      </c>
      <c r="G31" t="str">
        <f>IF(ISBLANK(F31),"",SUM(F$2:F31))</f>
        <v/>
      </c>
      <c r="I31" t="str">
        <f>IF(ISBLANK(H31),"",SUM(H$2:H31))</f>
        <v/>
      </c>
      <c r="K31" t="str">
        <f>IF(ISBLANK(J31),"",SUM(J$2:J31))</f>
        <v/>
      </c>
      <c r="M31" t="str">
        <f>IF(ISBLANK(L31),"",SUM(L$2:L31))</f>
        <v/>
      </c>
      <c r="O31" t="str">
        <f>IF(ISBLANK(N31),"",SUM(N$2:N31))</f>
        <v/>
      </c>
      <c r="Q31" t="str">
        <f>IF(ISBLANK(P31),"",SUM(P$2:P31))</f>
        <v/>
      </c>
      <c r="S31" t="str">
        <f>IF(ISBLANK(R31),"",SUM(R$2:R31))</f>
        <v/>
      </c>
    </row>
    <row r="32" spans="1:21" x14ac:dyDescent="0.3">
      <c r="E32" t="str">
        <f>IF(ISBLANK(D32),"",SUM(D$2:D32))</f>
        <v/>
      </c>
      <c r="G32" t="str">
        <f>IF(ISBLANK(F32),"",SUM(F$2:F32))</f>
        <v/>
      </c>
      <c r="I32" t="str">
        <f>IF(ISBLANK(H32),"",SUM(H$2:H32))</f>
        <v/>
      </c>
      <c r="K32" t="str">
        <f>IF(ISBLANK(J32),"",SUM(J$2:J32))</f>
        <v/>
      </c>
      <c r="M32" t="str">
        <f>IF(ISBLANK(L32),"",SUM(L$2:L32))</f>
        <v/>
      </c>
      <c r="O32" t="str">
        <f>IF(ISBLANK(N32),"",SUM(N$2:N32))</f>
        <v/>
      </c>
      <c r="Q32" t="str">
        <f>IF(ISBLANK(P32),"",SUM(P$2:P32))</f>
        <v/>
      </c>
      <c r="S32" t="str">
        <f>IF(ISBLANK(R32),"",SUM(R$2:R32))</f>
        <v/>
      </c>
    </row>
    <row r="33" spans="5:19" x14ac:dyDescent="0.3">
      <c r="E33" t="str">
        <f>IF(ISBLANK(D33),"",SUM(D$2:D33))</f>
        <v/>
      </c>
      <c r="G33" t="str">
        <f>IF(ISBLANK(F33),"",SUM(F$2:F33))</f>
        <v/>
      </c>
      <c r="I33" t="str">
        <f>IF(ISBLANK(H33),"",SUM(H$2:H33))</f>
        <v/>
      </c>
      <c r="K33" t="str">
        <f>IF(ISBLANK(J33),"",SUM(J$2:J33))</f>
        <v/>
      </c>
      <c r="M33" t="str">
        <f>IF(ISBLANK(L33),"",SUM(L$2:L33))</f>
        <v/>
      </c>
      <c r="O33" t="str">
        <f>IF(ISBLANK(N33),"",SUM(N$2:N33))</f>
        <v/>
      </c>
      <c r="Q33" t="str">
        <f>IF(ISBLANK(P33),"",SUM(P$2:P33))</f>
        <v/>
      </c>
      <c r="S33" t="str">
        <f>IF(ISBLANK(R33),"",SUM(R$2:R33))</f>
        <v/>
      </c>
    </row>
    <row r="34" spans="5:19" x14ac:dyDescent="0.3">
      <c r="E34" t="str">
        <f>IF(ISBLANK(D34),"",SUM(D$2:D34))</f>
        <v/>
      </c>
      <c r="G34" t="str">
        <f>IF(ISBLANK(F34),"",SUM(F$2:F34))</f>
        <v/>
      </c>
      <c r="I34" t="str">
        <f>IF(ISBLANK(H34),"",SUM(H$2:H34))</f>
        <v/>
      </c>
      <c r="K34" t="str">
        <f>IF(ISBLANK(J34),"",SUM(J$2:J34))</f>
        <v/>
      </c>
      <c r="M34" t="str">
        <f>IF(ISBLANK(L34),"",SUM(L$2:L34))</f>
        <v/>
      </c>
      <c r="O34" t="str">
        <f>IF(ISBLANK(N34),"",SUM(N$2:N34))</f>
        <v/>
      </c>
      <c r="Q34" t="str">
        <f>IF(ISBLANK(P34),"",SUM(P$2:P34))</f>
        <v/>
      </c>
      <c r="S34" t="str">
        <f>IF(ISBLANK(R34),"",SUM(R$2:R34))</f>
        <v/>
      </c>
    </row>
    <row r="35" spans="5:19" x14ac:dyDescent="0.3">
      <c r="E35" t="str">
        <f>IF(ISBLANK(D35),"",SUM(D$2:D35))</f>
        <v/>
      </c>
      <c r="G35" t="str">
        <f>IF(ISBLANK(F35),"",SUM(F$2:F35))</f>
        <v/>
      </c>
      <c r="I35" t="str">
        <f>IF(ISBLANK(H35),"",SUM(H$2:H35))</f>
        <v/>
      </c>
      <c r="K35" t="str">
        <f>IF(ISBLANK(J35),"",SUM(J$2:J35))</f>
        <v/>
      </c>
      <c r="M35" t="str">
        <f>IF(ISBLANK(L35),"",SUM(L$2:L35))</f>
        <v/>
      </c>
      <c r="O35" t="str">
        <f>IF(ISBLANK(N35),"",SUM(N$2:N35))</f>
        <v/>
      </c>
      <c r="Q35" t="str">
        <f>IF(ISBLANK(P35),"",SUM(P$2:P35))</f>
        <v/>
      </c>
      <c r="S35" t="str">
        <f>IF(ISBLANK(R35),"",SUM(R$2:R35))</f>
        <v/>
      </c>
    </row>
    <row r="36" spans="5:19" x14ac:dyDescent="0.3">
      <c r="E36" t="str">
        <f>IF(ISBLANK(D36),"",SUM(D$2:D36))</f>
        <v/>
      </c>
      <c r="G36" t="str">
        <f>IF(ISBLANK(F36),"",SUM(F$2:F36))</f>
        <v/>
      </c>
      <c r="I36" t="str">
        <f>IF(ISBLANK(H36),"",SUM(H$2:H36))</f>
        <v/>
      </c>
      <c r="K36" t="str">
        <f>IF(ISBLANK(J36),"",SUM(J$2:J36))</f>
        <v/>
      </c>
      <c r="M36" t="str">
        <f>IF(ISBLANK(L36),"",SUM(L$2:L36))</f>
        <v/>
      </c>
      <c r="O36" t="str">
        <f>IF(ISBLANK(N36),"",SUM(N$2:N36))</f>
        <v/>
      </c>
      <c r="Q36" t="str">
        <f>IF(ISBLANK(P36),"",SUM(P$2:P36))</f>
        <v/>
      </c>
      <c r="S36" t="str">
        <f>IF(ISBLANK(R36),"",SUM(R$2:R36))</f>
        <v/>
      </c>
    </row>
    <row r="37" spans="5:19" x14ac:dyDescent="0.3">
      <c r="E37" t="str">
        <f>IF(ISBLANK(D37),"",SUM(D$2:D37))</f>
        <v/>
      </c>
      <c r="G37" t="str">
        <f>IF(ISBLANK(F37),"",SUM(F$2:F37))</f>
        <v/>
      </c>
      <c r="I37" t="str">
        <f>IF(ISBLANK(H37),"",SUM(H$2:H37))</f>
        <v/>
      </c>
      <c r="K37" t="str">
        <f>IF(ISBLANK(J37),"",SUM(J$2:J37))</f>
        <v/>
      </c>
      <c r="M37" t="str">
        <f>IF(ISBLANK(L37),"",SUM(L$2:L37))</f>
        <v/>
      </c>
      <c r="O37" t="str">
        <f>IF(ISBLANK(N37),"",SUM(N$2:N37))</f>
        <v/>
      </c>
      <c r="Q37" t="str">
        <f>IF(ISBLANK(P37),"",SUM(P$2:P37))</f>
        <v/>
      </c>
      <c r="S37" t="str">
        <f>IF(ISBLANK(R37),"",SUM(R$2:R37))</f>
        <v/>
      </c>
    </row>
    <row r="38" spans="5:19" x14ac:dyDescent="0.3">
      <c r="E38" t="str">
        <f>IF(ISBLANK(D38),"",SUM(D$2:D38))</f>
        <v/>
      </c>
      <c r="G38" t="str">
        <f>IF(ISBLANK(F38),"",SUM(F$2:F38))</f>
        <v/>
      </c>
      <c r="I38" t="str">
        <f>IF(ISBLANK(H38),"",SUM(H$2:H38))</f>
        <v/>
      </c>
      <c r="K38" t="str">
        <f>IF(ISBLANK(J38),"",SUM(J$2:J38))</f>
        <v/>
      </c>
      <c r="M38" t="str">
        <f>IF(ISBLANK(L38),"",SUM(L$2:L38))</f>
        <v/>
      </c>
      <c r="O38" t="str">
        <f>IF(ISBLANK(N38),"",SUM(N$2:N38))</f>
        <v/>
      </c>
      <c r="Q38" t="str">
        <f>IF(ISBLANK(P38),"",SUM(P$2:P38))</f>
        <v/>
      </c>
      <c r="S38" t="str">
        <f>IF(ISBLANK(R38),"",SUM(R$2:R38))</f>
        <v/>
      </c>
    </row>
    <row r="39" spans="5:19" x14ac:dyDescent="0.3">
      <c r="E39" t="str">
        <f>IF(ISBLANK(D39),"",SUM(D$2:D39))</f>
        <v/>
      </c>
      <c r="G39" t="str">
        <f>IF(ISBLANK(F39),"",SUM(F$2:F39))</f>
        <v/>
      </c>
      <c r="I39" t="str">
        <f>IF(ISBLANK(H39),"",SUM(H$2:H39))</f>
        <v/>
      </c>
      <c r="K39" t="str">
        <f>IF(ISBLANK(J39),"",SUM(J$2:J39))</f>
        <v/>
      </c>
      <c r="M39" t="str">
        <f>IF(ISBLANK(L39),"",SUM(L$2:L39))</f>
        <v/>
      </c>
      <c r="O39" t="str">
        <f>IF(ISBLANK(N39),"",SUM(N$2:N39))</f>
        <v/>
      </c>
      <c r="Q39" t="str">
        <f>IF(ISBLANK(P39),"",SUM(P$2:P39))</f>
        <v/>
      </c>
      <c r="S39" t="str">
        <f>IF(ISBLANK(R39),"",SUM(R$2:R39))</f>
        <v/>
      </c>
    </row>
    <row r="40" spans="5:19" x14ac:dyDescent="0.3">
      <c r="E40" t="str">
        <f>IF(ISBLANK(D40),"",SUM(D$2:D40))</f>
        <v/>
      </c>
      <c r="G40" t="str">
        <f>IF(ISBLANK(F40),"",SUM(F$2:F40))</f>
        <v/>
      </c>
      <c r="I40" t="str">
        <f>IF(ISBLANK(H40),"",SUM(H$2:H40))</f>
        <v/>
      </c>
      <c r="K40" t="str">
        <f>IF(ISBLANK(J40),"",SUM(J$2:J40))</f>
        <v/>
      </c>
      <c r="M40" t="str">
        <f>IF(ISBLANK(L40),"",SUM(L$2:L40))</f>
        <v/>
      </c>
      <c r="O40" t="str">
        <f>IF(ISBLANK(N40),"",SUM(N$2:N40))</f>
        <v/>
      </c>
      <c r="Q40" t="str">
        <f>IF(ISBLANK(P40),"",SUM(P$2:P40))</f>
        <v/>
      </c>
      <c r="S40" t="str">
        <f>IF(ISBLANK(R40),"",SUM(R$2:R40))</f>
        <v/>
      </c>
    </row>
    <row r="41" spans="5:19" x14ac:dyDescent="0.3">
      <c r="E41" t="str">
        <f>IF(ISBLANK(D41),"",SUM(D$2:D41))</f>
        <v/>
      </c>
      <c r="G41" t="str">
        <f>IF(ISBLANK(F41),"",SUM(F$2:F41))</f>
        <v/>
      </c>
      <c r="I41" t="str">
        <f>IF(ISBLANK(H41),"",SUM(H$2:H41))</f>
        <v/>
      </c>
      <c r="K41" t="str">
        <f>IF(ISBLANK(J41),"",SUM(J$2:J41))</f>
        <v/>
      </c>
      <c r="M41" t="str">
        <f>IF(ISBLANK(L41),"",SUM(L$2:L41))</f>
        <v/>
      </c>
      <c r="O41" t="str">
        <f>IF(ISBLANK(N41),"",SUM(N$2:N41))</f>
        <v/>
      </c>
      <c r="Q41" t="str">
        <f>IF(ISBLANK(P41),"",SUM(P$2:P41))</f>
        <v/>
      </c>
      <c r="S41" t="str">
        <f>IF(ISBLANK(R41),"",SUM(R$2:R41))</f>
        <v/>
      </c>
    </row>
    <row r="42" spans="5:19" x14ac:dyDescent="0.3">
      <c r="E42" t="str">
        <f>IF(ISBLANK(D42),"",SUM(D$2:D42))</f>
        <v/>
      </c>
      <c r="G42" t="str">
        <f>IF(ISBLANK(F42),"",SUM(F$2:F42))</f>
        <v/>
      </c>
      <c r="I42" t="str">
        <f>IF(ISBLANK(H42),"",SUM(H$2:H42))</f>
        <v/>
      </c>
      <c r="K42" t="str">
        <f>IF(ISBLANK(J42),"",SUM(J$2:J42))</f>
        <v/>
      </c>
      <c r="M42" t="str">
        <f>IF(ISBLANK(L42),"",SUM(L$2:L42))</f>
        <v/>
      </c>
      <c r="O42" t="str">
        <f>IF(ISBLANK(N42),"",SUM(N$2:N42))</f>
        <v/>
      </c>
      <c r="Q42" t="str">
        <f>IF(ISBLANK(P42),"",SUM(P$2:P42))</f>
        <v/>
      </c>
      <c r="S42" t="str">
        <f>IF(ISBLANK(R42),"",SUM(R$2:R42))</f>
        <v/>
      </c>
    </row>
    <row r="43" spans="5:19" x14ac:dyDescent="0.3">
      <c r="E43" t="str">
        <f>IF(ISBLANK(D43),"",SUM(D$2:D43))</f>
        <v/>
      </c>
      <c r="G43" t="str">
        <f>IF(ISBLANK(F43),"",SUM(F$2:F43))</f>
        <v/>
      </c>
      <c r="I43" t="str">
        <f>IF(ISBLANK(H43),"",SUM(H$2:H43))</f>
        <v/>
      </c>
      <c r="K43" t="str">
        <f>IF(ISBLANK(J43),"",SUM(J$2:J43))</f>
        <v/>
      </c>
      <c r="M43" t="str">
        <f>IF(ISBLANK(L43),"",SUM(L$2:L43))</f>
        <v/>
      </c>
      <c r="O43" t="str">
        <f>IF(ISBLANK(N43),"",SUM(N$2:N43))</f>
        <v/>
      </c>
      <c r="Q43" t="str">
        <f>IF(ISBLANK(P43),"",SUM(P$2:P43))</f>
        <v/>
      </c>
      <c r="S43" t="str">
        <f>IF(ISBLANK(R43),"",SUM(R$2:R43))</f>
        <v/>
      </c>
    </row>
    <row r="44" spans="5:19" x14ac:dyDescent="0.3">
      <c r="E44" t="str">
        <f>IF(ISBLANK(D44),"",SUM(D$2:D44))</f>
        <v/>
      </c>
      <c r="G44" t="str">
        <f>IF(ISBLANK(F44),"",SUM(F$2:F44))</f>
        <v/>
      </c>
      <c r="I44" t="str">
        <f>IF(ISBLANK(H44),"",SUM(H$2:H44))</f>
        <v/>
      </c>
      <c r="K44" t="str">
        <f>IF(ISBLANK(J44),"",SUM(J$2:J44))</f>
        <v/>
      </c>
      <c r="M44" t="str">
        <f>IF(ISBLANK(L44),"",SUM(L$2:L44))</f>
        <v/>
      </c>
      <c r="O44" t="str">
        <f>IF(ISBLANK(N44),"",SUM(N$2:N44))</f>
        <v/>
      </c>
      <c r="Q44" t="str">
        <f>IF(ISBLANK(P44),"",SUM(P$2:P44))</f>
        <v/>
      </c>
      <c r="S44" t="str">
        <f>IF(ISBLANK(R44),"",SUM(R$2:R44))</f>
        <v/>
      </c>
    </row>
    <row r="45" spans="5:19" x14ac:dyDescent="0.3">
      <c r="E45" t="str">
        <f>IF(ISBLANK(D45),"",SUM(D$2:D45))</f>
        <v/>
      </c>
      <c r="G45" t="str">
        <f>IF(ISBLANK(F45),"",SUM(F$2:F45))</f>
        <v/>
      </c>
      <c r="I45" t="str">
        <f>IF(ISBLANK(H45),"",SUM(H$2:H45))</f>
        <v/>
      </c>
      <c r="K45" t="str">
        <f>IF(ISBLANK(J45),"",SUM(J$2:J45))</f>
        <v/>
      </c>
      <c r="M45" t="str">
        <f>IF(ISBLANK(L45),"",SUM(L$2:L45))</f>
        <v/>
      </c>
      <c r="O45" t="str">
        <f>IF(ISBLANK(N45),"",SUM(N$2:N45))</f>
        <v/>
      </c>
      <c r="Q45" t="str">
        <f>IF(ISBLANK(P45),"",SUM(P$2:P45))</f>
        <v/>
      </c>
      <c r="S45" t="str">
        <f>IF(ISBLANK(R45),"",SUM(R$2:R45))</f>
        <v/>
      </c>
    </row>
    <row r="46" spans="5:19" x14ac:dyDescent="0.3">
      <c r="E46" t="str">
        <f>IF(ISBLANK(D46),"",SUM(D$2:D46))</f>
        <v/>
      </c>
      <c r="G46" t="str">
        <f>IF(ISBLANK(F46),"",SUM(F$2:F46))</f>
        <v/>
      </c>
      <c r="I46" t="str">
        <f>IF(ISBLANK(H46),"",SUM(H$2:H46))</f>
        <v/>
      </c>
      <c r="K46" t="str">
        <f>IF(ISBLANK(J46),"",SUM(J$2:J46))</f>
        <v/>
      </c>
      <c r="M46" t="str">
        <f>IF(ISBLANK(L46),"",SUM(L$2:L46))</f>
        <v/>
      </c>
      <c r="O46" t="str">
        <f>IF(ISBLANK(N46),"",SUM(N$2:N46))</f>
        <v/>
      </c>
      <c r="Q46" t="str">
        <f>IF(ISBLANK(P46),"",SUM(P$2:P46))</f>
        <v/>
      </c>
      <c r="S46" t="str">
        <f>IF(ISBLANK(R46),"",SUM(R$2:R46))</f>
        <v/>
      </c>
    </row>
    <row r="47" spans="5:19" x14ac:dyDescent="0.3">
      <c r="E47" t="str">
        <f>IF(ISBLANK(D47),"",SUM(D$2:D47))</f>
        <v/>
      </c>
      <c r="G47" t="str">
        <f>IF(ISBLANK(F47),"",SUM(F$2:F47))</f>
        <v/>
      </c>
      <c r="I47" t="str">
        <f>IF(ISBLANK(H47),"",SUM(H$2:H47))</f>
        <v/>
      </c>
      <c r="K47" t="str">
        <f>IF(ISBLANK(J47),"",SUM(J$2:J47))</f>
        <v/>
      </c>
      <c r="M47" t="str">
        <f>IF(ISBLANK(L47),"",SUM(L$2:L47))</f>
        <v/>
      </c>
      <c r="O47" t="str">
        <f>IF(ISBLANK(N47),"",SUM(N$2:N47))</f>
        <v/>
      </c>
      <c r="Q47" t="str">
        <f>IF(ISBLANK(P47),"",SUM(P$2:P47))</f>
        <v/>
      </c>
      <c r="S47" t="str">
        <f>IF(ISBLANK(R47),"",SUM(R$2:R47))</f>
        <v/>
      </c>
    </row>
    <row r="48" spans="5:19" x14ac:dyDescent="0.3">
      <c r="E48" t="str">
        <f>IF(ISBLANK(D48),"",SUM(D$2:D48))</f>
        <v/>
      </c>
      <c r="G48" t="str">
        <f>IF(ISBLANK(F48),"",SUM(F$2:F48))</f>
        <v/>
      </c>
      <c r="I48" t="str">
        <f>IF(ISBLANK(H48),"",SUM(H$2:H48))</f>
        <v/>
      </c>
      <c r="K48" t="str">
        <f>IF(ISBLANK(J48),"",SUM(J$2:J48))</f>
        <v/>
      </c>
      <c r="M48" t="str">
        <f>IF(ISBLANK(L48),"",SUM(L$2:L48))</f>
        <v/>
      </c>
      <c r="O48" t="str">
        <f>IF(ISBLANK(N48),"",SUM(N$2:N48))</f>
        <v/>
      </c>
      <c r="Q48" t="str">
        <f>IF(ISBLANK(P48),"",SUM(P$2:P48))</f>
        <v/>
      </c>
      <c r="S48" t="str">
        <f>IF(ISBLANK(R48),"",SUM(R$2:R48))</f>
        <v/>
      </c>
    </row>
    <row r="49" spans="5:19" x14ac:dyDescent="0.3">
      <c r="E49" t="str">
        <f>IF(ISBLANK(D49),"",SUM(D$2:D49))</f>
        <v/>
      </c>
      <c r="G49" t="str">
        <f>IF(ISBLANK(F49),"",SUM(F$2:F49))</f>
        <v/>
      </c>
      <c r="I49" t="str">
        <f>IF(ISBLANK(H49),"",SUM(H$2:H49))</f>
        <v/>
      </c>
      <c r="K49" t="str">
        <f>IF(ISBLANK(J49),"",SUM(J$2:J49))</f>
        <v/>
      </c>
      <c r="M49" t="str">
        <f>IF(ISBLANK(L49),"",SUM(L$2:L49))</f>
        <v/>
      </c>
      <c r="O49" t="str">
        <f>IF(ISBLANK(N49),"",SUM(N$2:N49))</f>
        <v/>
      </c>
      <c r="Q49" t="str">
        <f>IF(ISBLANK(P49),"",SUM(P$2:P49))</f>
        <v/>
      </c>
      <c r="S49" t="str">
        <f>IF(ISBLANK(R49),"",SUM(R$2:R49))</f>
        <v/>
      </c>
    </row>
    <row r="50" spans="5:19" x14ac:dyDescent="0.3">
      <c r="E50" t="str">
        <f>IF(ISBLANK(D50),"",SUM(D$2:D50))</f>
        <v/>
      </c>
      <c r="G50" t="str">
        <f>IF(ISBLANK(F50),"",SUM(F$2:F50))</f>
        <v/>
      </c>
      <c r="I50" t="str">
        <f>IF(ISBLANK(H50),"",SUM(H$2:H50))</f>
        <v/>
      </c>
      <c r="K50" t="str">
        <f>IF(ISBLANK(J50),"",SUM(J$2:J50))</f>
        <v/>
      </c>
      <c r="M50" t="str">
        <f>IF(ISBLANK(L50),"",SUM(L$2:L50))</f>
        <v/>
      </c>
      <c r="O50" t="str">
        <f>IF(ISBLANK(N50),"",SUM(N$2:N50))</f>
        <v/>
      </c>
      <c r="Q50" t="str">
        <f>IF(ISBLANK(P50),"",SUM(P$2:P50))</f>
        <v/>
      </c>
      <c r="S50" t="str">
        <f>IF(ISBLANK(R50),"",SUM(R$2:R50))</f>
        <v/>
      </c>
    </row>
    <row r="51" spans="5:19" x14ac:dyDescent="0.3">
      <c r="E51" t="str">
        <f>IF(ISBLANK(D51),"",SUM(D$2:D51))</f>
        <v/>
      </c>
      <c r="G51" t="str">
        <f>IF(ISBLANK(F51),"",SUM(F$2:F51))</f>
        <v/>
      </c>
      <c r="I51" t="str">
        <f>IF(ISBLANK(H51),"",SUM(H$2:H51))</f>
        <v/>
      </c>
      <c r="K51" t="str">
        <f>IF(ISBLANK(J51),"",SUM(J$2:J51))</f>
        <v/>
      </c>
      <c r="M51" t="str">
        <f>IF(ISBLANK(L51),"",SUM(L$2:L51))</f>
        <v/>
      </c>
      <c r="O51" t="str">
        <f>IF(ISBLANK(N51),"",SUM(N$2:N51))</f>
        <v/>
      </c>
      <c r="Q51" t="str">
        <f>IF(ISBLANK(P51),"",SUM(P$2:P51))</f>
        <v/>
      </c>
      <c r="S51" t="str">
        <f>IF(ISBLANK(R51),"",SUM(R$2:R51))</f>
        <v/>
      </c>
    </row>
    <row r="52" spans="5:19" x14ac:dyDescent="0.3">
      <c r="E52" t="str">
        <f>IF(ISBLANK(D52),"",SUM(D$2:D52))</f>
        <v/>
      </c>
      <c r="G52" t="str">
        <f>IF(ISBLANK(F52),"",SUM(F$2:F52))</f>
        <v/>
      </c>
      <c r="I52" t="str">
        <f>IF(ISBLANK(H52),"",SUM(H$2:H52))</f>
        <v/>
      </c>
      <c r="K52" t="str">
        <f>IF(ISBLANK(J52),"",SUM(J$2:J52))</f>
        <v/>
      </c>
      <c r="M52" t="str">
        <f>IF(ISBLANK(L52),"",SUM(L$2:L52))</f>
        <v/>
      </c>
      <c r="O52" t="str">
        <f>IF(ISBLANK(N52),"",SUM(N$2:N52))</f>
        <v/>
      </c>
      <c r="Q52" t="str">
        <f>IF(ISBLANK(P52),"",SUM(P$2:P52))</f>
        <v/>
      </c>
      <c r="S52" t="str">
        <f>IF(ISBLANK(R52),"",SUM(R$2:R52))</f>
        <v/>
      </c>
    </row>
    <row r="53" spans="5:19" x14ac:dyDescent="0.3">
      <c r="E53" t="str">
        <f>IF(ISBLANK(D53),"",SUM(D$2:D53))</f>
        <v/>
      </c>
      <c r="G53" t="str">
        <f>IF(ISBLANK(F53),"",SUM(F$2:F53))</f>
        <v/>
      </c>
      <c r="I53" t="str">
        <f>IF(ISBLANK(H53),"",SUM(H$2:H53))</f>
        <v/>
      </c>
      <c r="K53" t="str">
        <f>IF(ISBLANK(J53),"",SUM(J$2:J53))</f>
        <v/>
      </c>
      <c r="M53" t="str">
        <f>IF(ISBLANK(L53),"",SUM(L$2:L53))</f>
        <v/>
      </c>
      <c r="O53" t="str">
        <f>IF(ISBLANK(N53),"",SUM(N$2:N53))</f>
        <v/>
      </c>
      <c r="Q53" t="str">
        <f>IF(ISBLANK(P53),"",SUM(P$2:P53))</f>
        <v/>
      </c>
      <c r="S53" t="str">
        <f>IF(ISBLANK(R53),"",SUM(R$2:R53))</f>
        <v/>
      </c>
    </row>
    <row r="54" spans="5:19" x14ac:dyDescent="0.3">
      <c r="E54" t="str">
        <f>IF(ISBLANK(D54),"",SUM(D$2:D54))</f>
        <v/>
      </c>
      <c r="G54" t="str">
        <f>IF(ISBLANK(F54),"",SUM(F$2:F54))</f>
        <v/>
      </c>
      <c r="I54" t="str">
        <f>IF(ISBLANK(H54),"",SUM(H$2:H54))</f>
        <v/>
      </c>
      <c r="K54" t="str">
        <f>IF(ISBLANK(J54),"",SUM(J$2:J54))</f>
        <v/>
      </c>
      <c r="M54" t="str">
        <f>IF(ISBLANK(L54),"",SUM(L$2:L54))</f>
        <v/>
      </c>
      <c r="O54" t="str">
        <f>IF(ISBLANK(N54),"",SUM(N$2:N54))</f>
        <v/>
      </c>
      <c r="Q54" t="str">
        <f>IF(ISBLANK(P54),"",SUM(P$2:P54))</f>
        <v/>
      </c>
      <c r="S54" t="str">
        <f>IF(ISBLANK(R54),"",SUM(R$2:R54))</f>
        <v/>
      </c>
    </row>
    <row r="55" spans="5:19" x14ac:dyDescent="0.3">
      <c r="E55" t="str">
        <f>IF(ISBLANK(D55),"",SUM(D$2:D55))</f>
        <v/>
      </c>
      <c r="G55" t="str">
        <f>IF(ISBLANK(F55),"",SUM(F$2:F55))</f>
        <v/>
      </c>
      <c r="I55" t="str">
        <f>IF(ISBLANK(H55),"",SUM(H$2:H55))</f>
        <v/>
      </c>
      <c r="K55" t="str">
        <f>IF(ISBLANK(J55),"",SUM(J$2:J55))</f>
        <v/>
      </c>
      <c r="M55" t="str">
        <f>IF(ISBLANK(L55),"",SUM(L$2:L55))</f>
        <v/>
      </c>
      <c r="O55" t="str">
        <f>IF(ISBLANK(N55),"",SUM(N$2:N55))</f>
        <v/>
      </c>
      <c r="Q55" t="str">
        <f>IF(ISBLANK(P55),"",SUM(P$2:P55))</f>
        <v/>
      </c>
      <c r="S55" t="str">
        <f>IF(ISBLANK(R55),"",SUM(R$2:R55))</f>
        <v/>
      </c>
    </row>
    <row r="56" spans="5:19" x14ac:dyDescent="0.3">
      <c r="E56" t="str">
        <f>IF(ISBLANK(D56),"",SUM(D$2:D56))</f>
        <v/>
      </c>
      <c r="G56" t="str">
        <f>IF(ISBLANK(F56),"",SUM(F$2:F56))</f>
        <v/>
      </c>
      <c r="I56" t="str">
        <f>IF(ISBLANK(H56),"",SUM(H$2:H56))</f>
        <v/>
      </c>
      <c r="K56" t="str">
        <f>IF(ISBLANK(J56),"",SUM(J$2:J56))</f>
        <v/>
      </c>
      <c r="M56" t="str">
        <f>IF(ISBLANK(L56),"",SUM(L$2:L56))</f>
        <v/>
      </c>
      <c r="O56" t="str">
        <f>IF(ISBLANK(N56),"",SUM(N$2:N56))</f>
        <v/>
      </c>
      <c r="Q56" t="str">
        <f>IF(ISBLANK(P56),"",SUM(P$2:P56))</f>
        <v/>
      </c>
      <c r="S56" t="str">
        <f>IF(ISBLANK(R56),"",SUM(R$2:R56))</f>
        <v/>
      </c>
    </row>
    <row r="57" spans="5:19" x14ac:dyDescent="0.3">
      <c r="E57" t="str">
        <f>IF(ISBLANK(D57),"",SUM(D$2:D57))</f>
        <v/>
      </c>
      <c r="G57" t="str">
        <f>IF(ISBLANK(F57),"",SUM(F$2:F57))</f>
        <v/>
      </c>
      <c r="I57" t="str">
        <f>IF(ISBLANK(H57),"",SUM(H$2:H57))</f>
        <v/>
      </c>
      <c r="K57" t="str">
        <f>IF(ISBLANK(J57),"",SUM(J$2:J57))</f>
        <v/>
      </c>
      <c r="M57" t="str">
        <f>IF(ISBLANK(L57),"",SUM(L$2:L57))</f>
        <v/>
      </c>
      <c r="O57" t="str">
        <f>IF(ISBLANK(N57),"",SUM(N$2:N57))</f>
        <v/>
      </c>
      <c r="Q57" t="str">
        <f>IF(ISBLANK(P57),"",SUM(P$2:P57))</f>
        <v/>
      </c>
      <c r="S57" t="str">
        <f>IF(ISBLANK(R57),"",SUM(R$2:R57))</f>
        <v/>
      </c>
    </row>
    <row r="58" spans="5:19" x14ac:dyDescent="0.3">
      <c r="E58" t="str">
        <f>IF(ISBLANK(D58),"",SUM(D$2:D58))</f>
        <v/>
      </c>
      <c r="G58" t="str">
        <f>IF(ISBLANK(F58),"",SUM(F$2:F58))</f>
        <v/>
      </c>
      <c r="I58" t="str">
        <f>IF(ISBLANK(H58),"",SUM(H$2:H58))</f>
        <v/>
      </c>
      <c r="K58" t="str">
        <f>IF(ISBLANK(J58),"",SUM(J$2:J58))</f>
        <v/>
      </c>
      <c r="M58" t="str">
        <f>IF(ISBLANK(L58),"",SUM(L$2:L58))</f>
        <v/>
      </c>
      <c r="O58" t="str">
        <f>IF(ISBLANK(N58),"",SUM(N$2:N58))</f>
        <v/>
      </c>
      <c r="Q58" t="str">
        <f>IF(ISBLANK(P58),"",SUM(P$2:P58))</f>
        <v/>
      </c>
      <c r="S58" t="str">
        <f>IF(ISBLANK(R58),"",SUM(R$2:R58))</f>
        <v/>
      </c>
    </row>
    <row r="59" spans="5:19" x14ac:dyDescent="0.3">
      <c r="E59" t="str">
        <f>IF(ISBLANK(D59),"",SUM(D$2:D59))</f>
        <v/>
      </c>
      <c r="G59" t="str">
        <f>IF(ISBLANK(F59),"",SUM(F$2:F59))</f>
        <v/>
      </c>
      <c r="I59" t="str">
        <f>IF(ISBLANK(H59),"",SUM(H$2:H59))</f>
        <v/>
      </c>
      <c r="K59" t="str">
        <f>IF(ISBLANK(J59),"",SUM(J$2:J59))</f>
        <v/>
      </c>
      <c r="M59" t="str">
        <f>IF(ISBLANK(L59),"",SUM(L$2:L59))</f>
        <v/>
      </c>
      <c r="O59" t="str">
        <f>IF(ISBLANK(N59),"",SUM(N$2:N59))</f>
        <v/>
      </c>
      <c r="Q59" t="str">
        <f>IF(ISBLANK(P59),"",SUM(P$2:P59))</f>
        <v/>
      </c>
      <c r="S59" t="str">
        <f>IF(ISBLANK(R59),"",SUM(R$2:R59))</f>
        <v/>
      </c>
    </row>
    <row r="60" spans="5:19" x14ac:dyDescent="0.3">
      <c r="E60" t="str">
        <f>IF(ISBLANK(D60),"",SUM(D$2:D60))</f>
        <v/>
      </c>
      <c r="G60" t="str">
        <f>IF(ISBLANK(F60),"",SUM(F$2:F60))</f>
        <v/>
      </c>
      <c r="I60" t="str">
        <f>IF(ISBLANK(H60),"",SUM(H$2:H60))</f>
        <v/>
      </c>
      <c r="K60" t="str">
        <f>IF(ISBLANK(J60),"",SUM(J$2:J60))</f>
        <v/>
      </c>
      <c r="M60" t="str">
        <f>IF(ISBLANK(L60),"",SUM(L$2:L60))</f>
        <v/>
      </c>
      <c r="O60" t="str">
        <f>IF(ISBLANK(N60),"",SUM(N$2:N60))</f>
        <v/>
      </c>
      <c r="Q60" t="str">
        <f>IF(ISBLANK(P60),"",SUM(P$2:P60))</f>
        <v/>
      </c>
      <c r="S60" t="str">
        <f>IF(ISBLANK(R60),"",SUM(R$2:R60))</f>
        <v/>
      </c>
    </row>
    <row r="61" spans="5:19" x14ac:dyDescent="0.3">
      <c r="E61" t="str">
        <f>IF(ISBLANK(D61),"",SUM(D$2:D61))</f>
        <v/>
      </c>
      <c r="G61" t="str">
        <f>IF(ISBLANK(F61),"",SUM(F$2:F61))</f>
        <v/>
      </c>
      <c r="I61" t="str">
        <f>IF(ISBLANK(H61),"",SUM(H$2:H61))</f>
        <v/>
      </c>
      <c r="K61" t="str">
        <f>IF(ISBLANK(J61),"",SUM(J$2:J61))</f>
        <v/>
      </c>
      <c r="M61" t="str">
        <f>IF(ISBLANK(L61),"",SUM(L$2:L61))</f>
        <v/>
      </c>
      <c r="O61" t="str">
        <f>IF(ISBLANK(N61),"",SUM(N$2:N61))</f>
        <v/>
      </c>
      <c r="Q61" t="str">
        <f>IF(ISBLANK(P61),"",SUM(P$2:P61))</f>
        <v/>
      </c>
      <c r="S61" t="str">
        <f>IF(ISBLANK(R61),"",SUM(R$2:R61))</f>
        <v/>
      </c>
    </row>
    <row r="62" spans="5:19" x14ac:dyDescent="0.3">
      <c r="E62" t="str">
        <f>IF(ISBLANK(D62),"",SUM(D$2:D62))</f>
        <v/>
      </c>
      <c r="G62" t="str">
        <f>IF(ISBLANK(F62),"",SUM(F$2:F62))</f>
        <v/>
      </c>
      <c r="I62" t="str">
        <f>IF(ISBLANK(H62),"",SUM(H$2:H62))</f>
        <v/>
      </c>
      <c r="K62" t="str">
        <f>IF(ISBLANK(J62),"",SUM(J$2:J62))</f>
        <v/>
      </c>
      <c r="M62" t="str">
        <f>IF(ISBLANK(L62),"",SUM(L$2:L62))</f>
        <v/>
      </c>
      <c r="O62" t="str">
        <f>IF(ISBLANK(N62),"",SUM(N$2:N62))</f>
        <v/>
      </c>
      <c r="Q62" t="str">
        <f>IF(ISBLANK(P62),"",SUM(P$2:P62))</f>
        <v/>
      </c>
      <c r="S62" t="str">
        <f>IF(ISBLANK(R62),"",SUM(R$2:R62))</f>
        <v/>
      </c>
    </row>
    <row r="63" spans="5:19" x14ac:dyDescent="0.3">
      <c r="E63" t="str">
        <f>IF(ISBLANK(D63),"",SUM(D$2:D63))</f>
        <v/>
      </c>
      <c r="G63" t="str">
        <f>IF(ISBLANK(F63),"",SUM(F$2:F63))</f>
        <v/>
      </c>
      <c r="I63" t="str">
        <f>IF(ISBLANK(H63),"",SUM(H$2:H63))</f>
        <v/>
      </c>
      <c r="K63" t="str">
        <f>IF(ISBLANK(J63),"",SUM(J$2:J63))</f>
        <v/>
      </c>
      <c r="M63" t="str">
        <f>IF(ISBLANK(L63),"",SUM(L$2:L63))</f>
        <v/>
      </c>
      <c r="O63" t="str">
        <f>IF(ISBLANK(N63),"",SUM(N$2:N63))</f>
        <v/>
      </c>
      <c r="Q63" t="str">
        <f>IF(ISBLANK(P63),"",SUM(P$2:P63))</f>
        <v/>
      </c>
      <c r="S63" t="str">
        <f>IF(ISBLANK(R63),"",SUM(R$2:R63))</f>
        <v/>
      </c>
    </row>
    <row r="64" spans="5:19" x14ac:dyDescent="0.3">
      <c r="E64" t="str">
        <f>IF(ISBLANK(D64),"",SUM(D$2:D64))</f>
        <v/>
      </c>
      <c r="G64" t="str">
        <f>IF(ISBLANK(F64),"",SUM(F$2:F64))</f>
        <v/>
      </c>
      <c r="I64" t="str">
        <f>IF(ISBLANK(H64),"",SUM(H$2:H64))</f>
        <v/>
      </c>
      <c r="K64" t="str">
        <f>IF(ISBLANK(J64),"",SUM(J$2:J64))</f>
        <v/>
      </c>
      <c r="M64" t="str">
        <f>IF(ISBLANK(L64),"",SUM(L$2:L64))</f>
        <v/>
      </c>
      <c r="O64" t="str">
        <f>IF(ISBLANK(N64),"",SUM(N$2:N64))</f>
        <v/>
      </c>
      <c r="Q64" t="str">
        <f>IF(ISBLANK(P64),"",SUM(P$2:P64))</f>
        <v/>
      </c>
      <c r="S64" t="str">
        <f>IF(ISBLANK(R64),"",SUM(R$2:R64))</f>
        <v/>
      </c>
    </row>
    <row r="65" spans="5:19" x14ac:dyDescent="0.3">
      <c r="E65" t="str">
        <f>IF(ISBLANK(D65),"",SUM(D$2:D65))</f>
        <v/>
      </c>
      <c r="G65" t="str">
        <f>IF(ISBLANK(F65),"",SUM(F$2:F65))</f>
        <v/>
      </c>
      <c r="I65" t="str">
        <f>IF(ISBLANK(H65),"",SUM(H$2:H65))</f>
        <v/>
      </c>
      <c r="K65" t="str">
        <f>IF(ISBLANK(J65),"",SUM(J$2:J65))</f>
        <v/>
      </c>
      <c r="M65" t="str">
        <f>IF(ISBLANK(L65),"",SUM(L$2:L65))</f>
        <v/>
      </c>
      <c r="O65" t="str">
        <f>IF(ISBLANK(N65),"",SUM(N$2:N65))</f>
        <v/>
      </c>
      <c r="Q65" t="str">
        <f>IF(ISBLANK(P65),"",SUM(P$2:P65))</f>
        <v/>
      </c>
      <c r="S65" t="str">
        <f>IF(ISBLANK(R65),"",SUM(R$2:R65))</f>
        <v/>
      </c>
    </row>
    <row r="66" spans="5:19" x14ac:dyDescent="0.3">
      <c r="E66" t="str">
        <f>IF(ISBLANK(D66),"",SUM(D$2:D66))</f>
        <v/>
      </c>
      <c r="G66" t="str">
        <f>IF(ISBLANK(F66),"",SUM(F$2:F66))</f>
        <v/>
      </c>
      <c r="I66" t="str">
        <f>IF(ISBLANK(H66),"",SUM(H$2:H66))</f>
        <v/>
      </c>
      <c r="K66" t="str">
        <f>IF(ISBLANK(J66),"",SUM(J$2:J66))</f>
        <v/>
      </c>
      <c r="M66" t="str">
        <f>IF(ISBLANK(L66),"",SUM(L$2:L66))</f>
        <v/>
      </c>
      <c r="O66" t="str">
        <f>IF(ISBLANK(N66),"",SUM(N$2:N66))</f>
        <v/>
      </c>
      <c r="Q66" t="str">
        <f>IF(ISBLANK(P66),"",SUM(P$2:P66))</f>
        <v/>
      </c>
      <c r="S66" t="str">
        <f>IF(ISBLANK(R66),"",SUM(R$2:R66))</f>
        <v/>
      </c>
    </row>
    <row r="67" spans="5:19" x14ac:dyDescent="0.3">
      <c r="E67" t="str">
        <f>IF(ISBLANK(D67),"",SUM(D$2:D67))</f>
        <v/>
      </c>
      <c r="G67" t="str">
        <f>IF(ISBLANK(F67),"",SUM(F$2:F67))</f>
        <v/>
      </c>
      <c r="I67" t="str">
        <f>IF(ISBLANK(H67),"",SUM(H$2:H67))</f>
        <v/>
      </c>
      <c r="K67" t="str">
        <f>IF(ISBLANK(J67),"",SUM(J$2:J67))</f>
        <v/>
      </c>
      <c r="M67" t="str">
        <f>IF(ISBLANK(L67),"",SUM(L$2:L67))</f>
        <v/>
      </c>
      <c r="O67" t="str">
        <f>IF(ISBLANK(N67),"",SUM(N$2:N67))</f>
        <v/>
      </c>
      <c r="Q67" t="str">
        <f>IF(ISBLANK(P67),"",SUM(P$2:P67))</f>
        <v/>
      </c>
      <c r="S67" t="str">
        <f>IF(ISBLANK(R67),"",SUM(R$2:R67))</f>
        <v/>
      </c>
    </row>
    <row r="68" spans="5:19" x14ac:dyDescent="0.3">
      <c r="E68" t="str">
        <f>IF(ISBLANK(D68),"",SUM(D$2:D68))</f>
        <v/>
      </c>
      <c r="G68" t="str">
        <f>IF(ISBLANK(F68),"",SUM(F$2:F68))</f>
        <v/>
      </c>
      <c r="I68" t="str">
        <f>IF(ISBLANK(H68),"",SUM(H$2:H68))</f>
        <v/>
      </c>
      <c r="K68" t="str">
        <f>IF(ISBLANK(J68),"",SUM(J$2:J68))</f>
        <v/>
      </c>
      <c r="M68" t="str">
        <f>IF(ISBLANK(L68),"",SUM(L$2:L68))</f>
        <v/>
      </c>
      <c r="O68" t="str">
        <f>IF(ISBLANK(N68),"",SUM(N$2:N68))</f>
        <v/>
      </c>
      <c r="Q68" t="str">
        <f>IF(ISBLANK(P68),"",SUM(P$2:P68))</f>
        <v/>
      </c>
      <c r="S68" t="str">
        <f>IF(ISBLANK(R68),"",SUM(R$2:R68))</f>
        <v/>
      </c>
    </row>
    <row r="69" spans="5:19" x14ac:dyDescent="0.3">
      <c r="E69" t="str">
        <f>IF(ISBLANK(D69),"",SUM(D$2:D69))</f>
        <v/>
      </c>
      <c r="G69" t="str">
        <f>IF(ISBLANK(F69),"",SUM(F$2:F69))</f>
        <v/>
      </c>
      <c r="I69" t="str">
        <f>IF(ISBLANK(H69),"",SUM(H$2:H69))</f>
        <v/>
      </c>
      <c r="K69" t="str">
        <f>IF(ISBLANK(J69),"",SUM(J$2:J69))</f>
        <v/>
      </c>
      <c r="M69" t="str">
        <f>IF(ISBLANK(L69),"",SUM(L$2:L69))</f>
        <v/>
      </c>
      <c r="O69" t="str">
        <f>IF(ISBLANK(N69),"",SUM(N$2:N69))</f>
        <v/>
      </c>
      <c r="Q69" t="str">
        <f>IF(ISBLANK(P69),"",SUM(P$2:P69))</f>
        <v/>
      </c>
      <c r="S69" t="str">
        <f>IF(ISBLANK(R69),"",SUM(R$2:R69))</f>
        <v/>
      </c>
    </row>
    <row r="70" spans="5:19" x14ac:dyDescent="0.3">
      <c r="E70" t="str">
        <f>IF(ISBLANK(D70),"",SUM(D$2:D70))</f>
        <v/>
      </c>
      <c r="G70" t="str">
        <f>IF(ISBLANK(F70),"",SUM(F$2:F70))</f>
        <v/>
      </c>
      <c r="I70" t="str">
        <f>IF(ISBLANK(H70),"",SUM(H$2:H70))</f>
        <v/>
      </c>
      <c r="K70" t="str">
        <f>IF(ISBLANK(J70),"",SUM(J$2:J70))</f>
        <v/>
      </c>
      <c r="M70" t="str">
        <f>IF(ISBLANK(L70),"",SUM(L$2:L70))</f>
        <v/>
      </c>
      <c r="O70" t="str">
        <f>IF(ISBLANK(N70),"",SUM(N$2:N70))</f>
        <v/>
      </c>
      <c r="Q70" t="str">
        <f>IF(ISBLANK(P70),"",SUM(P$2:P70))</f>
        <v/>
      </c>
      <c r="S70" t="str">
        <f>IF(ISBLANK(R70),"",SUM(R$2:R70))</f>
        <v/>
      </c>
    </row>
    <row r="71" spans="5:19" x14ac:dyDescent="0.3">
      <c r="E71" t="str">
        <f>IF(ISBLANK(D71),"",SUM(D$2:D71))</f>
        <v/>
      </c>
      <c r="G71" t="str">
        <f>IF(ISBLANK(F71),"",SUM(F$2:F71))</f>
        <v/>
      </c>
      <c r="I71" t="str">
        <f>IF(ISBLANK(H71),"",SUM(H$2:H71))</f>
        <v/>
      </c>
      <c r="K71" t="str">
        <f>IF(ISBLANK(J71),"",SUM(J$2:J71))</f>
        <v/>
      </c>
      <c r="M71" t="str">
        <f>IF(ISBLANK(L71),"",SUM(L$2:L71))</f>
        <v/>
      </c>
      <c r="O71" t="str">
        <f>IF(ISBLANK(N71),"",SUM(N$2:N71))</f>
        <v/>
      </c>
      <c r="Q71" t="str">
        <f>IF(ISBLANK(P71),"",SUM(P$2:P71))</f>
        <v/>
      </c>
      <c r="S71" t="str">
        <f>IF(ISBLANK(R71),"",SUM(R$2:R71))</f>
        <v/>
      </c>
    </row>
    <row r="72" spans="5:19" x14ac:dyDescent="0.3">
      <c r="E72" t="str">
        <f>IF(ISBLANK(D72),"",SUM(D$2:D72))</f>
        <v/>
      </c>
      <c r="G72" t="str">
        <f>IF(ISBLANK(F72),"",SUM(F$2:F72))</f>
        <v/>
      </c>
      <c r="I72" t="str">
        <f>IF(ISBLANK(H72),"",SUM(H$2:H72))</f>
        <v/>
      </c>
      <c r="K72" t="str">
        <f>IF(ISBLANK(J72),"",SUM(J$2:J72))</f>
        <v/>
      </c>
      <c r="M72" t="str">
        <f>IF(ISBLANK(L72),"",SUM(L$2:L72))</f>
        <v/>
      </c>
      <c r="O72" t="str">
        <f>IF(ISBLANK(N72),"",SUM(N$2:N72))</f>
        <v/>
      </c>
      <c r="Q72" t="str">
        <f>IF(ISBLANK(P72),"",SUM(P$2:P72))</f>
        <v/>
      </c>
      <c r="S72" t="str">
        <f>IF(ISBLANK(R72),"",SUM(R$2:R72))</f>
        <v/>
      </c>
    </row>
    <row r="73" spans="5:19" x14ac:dyDescent="0.3">
      <c r="E73" t="str">
        <f>IF(ISBLANK(D73),"",SUM(D$2:D73))</f>
        <v/>
      </c>
      <c r="G73" t="str">
        <f>IF(ISBLANK(F73),"",SUM(F$2:F73))</f>
        <v/>
      </c>
      <c r="I73" t="str">
        <f>IF(ISBLANK(H73),"",SUM(H$2:H73))</f>
        <v/>
      </c>
      <c r="K73" t="str">
        <f>IF(ISBLANK(J73),"",SUM(J$2:J73))</f>
        <v/>
      </c>
      <c r="M73" t="str">
        <f>IF(ISBLANK(L73),"",SUM(L$2:L73))</f>
        <v/>
      </c>
      <c r="O73" t="str">
        <f>IF(ISBLANK(N73),"",SUM(N$2:N73))</f>
        <v/>
      </c>
      <c r="Q73" t="str">
        <f>IF(ISBLANK(P73),"",SUM(P$2:P73))</f>
        <v/>
      </c>
      <c r="S73" t="str">
        <f>IF(ISBLANK(R73),"",SUM(R$2:R73))</f>
        <v/>
      </c>
    </row>
    <row r="74" spans="5:19" x14ac:dyDescent="0.3">
      <c r="E74" t="str">
        <f>IF(ISBLANK(D74),"",SUM(D$2:D74))</f>
        <v/>
      </c>
      <c r="G74" t="str">
        <f>IF(ISBLANK(F74),"",SUM(F$2:F74))</f>
        <v/>
      </c>
      <c r="I74" t="str">
        <f>IF(ISBLANK(H74),"",SUM(H$2:H74))</f>
        <v/>
      </c>
      <c r="K74" t="str">
        <f>IF(ISBLANK(J74),"",SUM(J$2:J74))</f>
        <v/>
      </c>
      <c r="M74" t="str">
        <f>IF(ISBLANK(L74),"",SUM(L$2:L74))</f>
        <v/>
      </c>
      <c r="O74" t="str">
        <f>IF(ISBLANK(N74),"",SUM(N$2:N74))</f>
        <v/>
      </c>
      <c r="Q74" t="str">
        <f>IF(ISBLANK(P74),"",SUM(P$2:P74))</f>
        <v/>
      </c>
      <c r="S74" t="str">
        <f>IF(ISBLANK(R74),"",SUM(R$2:R74))</f>
        <v/>
      </c>
    </row>
    <row r="75" spans="5:19" x14ac:dyDescent="0.3">
      <c r="E75" t="str">
        <f>IF(ISBLANK(D75),"",SUM(D$2:D75))</f>
        <v/>
      </c>
      <c r="G75" t="str">
        <f>IF(ISBLANK(F75),"",SUM(F$2:F75))</f>
        <v/>
      </c>
      <c r="I75" t="str">
        <f>IF(ISBLANK(H75),"",SUM(H$2:H75))</f>
        <v/>
      </c>
      <c r="K75" t="str">
        <f>IF(ISBLANK(J75),"",SUM(J$2:J75))</f>
        <v/>
      </c>
      <c r="M75" t="str">
        <f>IF(ISBLANK(L75),"",SUM(L$2:L75))</f>
        <v/>
      </c>
      <c r="O75" t="str">
        <f>IF(ISBLANK(N75),"",SUM(N$2:N75))</f>
        <v/>
      </c>
      <c r="Q75" t="str">
        <f>IF(ISBLANK(P75),"",SUM(P$2:P75))</f>
        <v/>
      </c>
      <c r="S75" t="str">
        <f>IF(ISBLANK(R75),"",SUM(R$2:R75))</f>
        <v/>
      </c>
    </row>
    <row r="76" spans="5:19" x14ac:dyDescent="0.3">
      <c r="E76" t="str">
        <f>IF(ISBLANK(D76),"",SUM(D$2:D76))</f>
        <v/>
      </c>
      <c r="G76" t="str">
        <f>IF(ISBLANK(F76),"",SUM(F$2:F76))</f>
        <v/>
      </c>
      <c r="I76" t="str">
        <f>IF(ISBLANK(H76),"",SUM(H$2:H76))</f>
        <v/>
      </c>
      <c r="K76" t="str">
        <f>IF(ISBLANK(J76),"",SUM(J$2:J76))</f>
        <v/>
      </c>
      <c r="M76" t="str">
        <f>IF(ISBLANK(L76),"",SUM(L$2:L76))</f>
        <v/>
      </c>
      <c r="O76" t="str">
        <f>IF(ISBLANK(N76),"",SUM(N$2:N76))</f>
        <v/>
      </c>
      <c r="Q76" t="str">
        <f>IF(ISBLANK(P76),"",SUM(P$2:P76))</f>
        <v/>
      </c>
      <c r="S76" t="str">
        <f>IF(ISBLANK(R76),"",SUM(R$2:R76))</f>
        <v/>
      </c>
    </row>
    <row r="77" spans="5:19" x14ac:dyDescent="0.3">
      <c r="E77" t="str">
        <f>IF(ISBLANK(D77),"",SUM(D$2:D77))</f>
        <v/>
      </c>
      <c r="G77" t="str">
        <f>IF(ISBLANK(F77),"",SUM(F$2:F77))</f>
        <v/>
      </c>
      <c r="I77" t="str">
        <f>IF(ISBLANK(H77),"",SUM(H$2:H77))</f>
        <v/>
      </c>
      <c r="K77" t="str">
        <f>IF(ISBLANK(J77),"",SUM(J$2:J77))</f>
        <v/>
      </c>
      <c r="M77" t="str">
        <f>IF(ISBLANK(L77),"",SUM(L$2:L77))</f>
        <v/>
      </c>
      <c r="O77" t="str">
        <f>IF(ISBLANK(N77),"",SUM(N$2:N77))</f>
        <v/>
      </c>
      <c r="Q77" t="str">
        <f>IF(ISBLANK(P77),"",SUM(P$2:P77))</f>
        <v/>
      </c>
      <c r="S77" t="str">
        <f>IF(ISBLANK(R77),"",SUM(R$2:R77))</f>
        <v/>
      </c>
    </row>
    <row r="78" spans="5:19" x14ac:dyDescent="0.3">
      <c r="E78" t="str">
        <f>IF(ISBLANK(D78),"",SUM(D$2:D78))</f>
        <v/>
      </c>
      <c r="G78" t="str">
        <f>IF(ISBLANK(F78),"",SUM(F$2:F78))</f>
        <v/>
      </c>
      <c r="I78" t="str">
        <f>IF(ISBLANK(H78),"",SUM(H$2:H78))</f>
        <v/>
      </c>
      <c r="K78" t="str">
        <f>IF(ISBLANK(J78),"",SUM(J$2:J78))</f>
        <v/>
      </c>
      <c r="M78" t="str">
        <f>IF(ISBLANK(L78),"",SUM(L$2:L78))</f>
        <v/>
      </c>
      <c r="O78" t="str">
        <f>IF(ISBLANK(N78),"",SUM(N$2:N78))</f>
        <v/>
      </c>
      <c r="Q78" t="str">
        <f>IF(ISBLANK(P78),"",SUM(P$2:P78))</f>
        <v/>
      </c>
      <c r="S78" t="str">
        <f>IF(ISBLANK(R78),"",SUM(R$2:R78))</f>
        <v/>
      </c>
    </row>
    <row r="79" spans="5:19" x14ac:dyDescent="0.3">
      <c r="E79" t="str">
        <f>IF(ISBLANK(D79),"",SUM(D$2:D79))</f>
        <v/>
      </c>
      <c r="G79" t="str">
        <f>IF(ISBLANK(F79),"",SUM(F$2:F79))</f>
        <v/>
      </c>
      <c r="I79" t="str">
        <f>IF(ISBLANK(H79),"",SUM(H$2:H79))</f>
        <v/>
      </c>
      <c r="K79" t="str">
        <f>IF(ISBLANK(J79),"",SUM(J$2:J79))</f>
        <v/>
      </c>
      <c r="M79" t="str">
        <f>IF(ISBLANK(L79),"",SUM(L$2:L79))</f>
        <v/>
      </c>
      <c r="O79" t="str">
        <f>IF(ISBLANK(N79),"",SUM(N$2:N79))</f>
        <v/>
      </c>
      <c r="Q79" t="str">
        <f>IF(ISBLANK(P79),"",SUM(P$2:P79))</f>
        <v/>
      </c>
      <c r="S79" t="str">
        <f>IF(ISBLANK(R79),"",SUM(R$2:R79))</f>
        <v/>
      </c>
    </row>
    <row r="80" spans="5:19" x14ac:dyDescent="0.3">
      <c r="E80" t="str">
        <f>IF(ISBLANK(D80),"",SUM(D$2:D80))</f>
        <v/>
      </c>
      <c r="G80" t="str">
        <f>IF(ISBLANK(F80),"",SUM(F$2:F80))</f>
        <v/>
      </c>
      <c r="I80" t="str">
        <f>IF(ISBLANK(H80),"",SUM(H$2:H80))</f>
        <v/>
      </c>
      <c r="K80" t="str">
        <f>IF(ISBLANK(J80),"",SUM(J$2:J80))</f>
        <v/>
      </c>
      <c r="M80" t="str">
        <f>IF(ISBLANK(L80),"",SUM(L$2:L80))</f>
        <v/>
      </c>
      <c r="O80" t="str">
        <f>IF(ISBLANK(N80),"",SUM(N$2:N80))</f>
        <v/>
      </c>
      <c r="Q80" t="str">
        <f>IF(ISBLANK(P80),"",SUM(P$2:P80))</f>
        <v/>
      </c>
      <c r="S80" t="str">
        <f>IF(ISBLANK(R80),"",SUM(R$2:R80))</f>
        <v/>
      </c>
    </row>
    <row r="81" spans="5:19" x14ac:dyDescent="0.3">
      <c r="E81" t="str">
        <f>IF(ISBLANK(D81),"",SUM(D$2:D81))</f>
        <v/>
      </c>
      <c r="G81" t="str">
        <f>IF(ISBLANK(F81),"",SUM(F$2:F81))</f>
        <v/>
      </c>
      <c r="I81" t="str">
        <f>IF(ISBLANK(H81),"",SUM(H$2:H81))</f>
        <v/>
      </c>
      <c r="K81" t="str">
        <f>IF(ISBLANK(J81),"",SUM(J$2:J81))</f>
        <v/>
      </c>
      <c r="M81" t="str">
        <f>IF(ISBLANK(L81),"",SUM(L$2:L81))</f>
        <v/>
      </c>
      <c r="O81" t="str">
        <f>IF(ISBLANK(N81),"",SUM(N$2:N81))</f>
        <v/>
      </c>
      <c r="Q81" t="str">
        <f>IF(ISBLANK(P81),"",SUM(P$2:P81))</f>
        <v/>
      </c>
      <c r="S81" t="str">
        <f>IF(ISBLANK(R81),"",SUM(R$2:R81))</f>
        <v/>
      </c>
    </row>
    <row r="82" spans="5:19" x14ac:dyDescent="0.3">
      <c r="E82" t="str">
        <f>IF(ISBLANK(D82),"",SUM(D$2:D82))</f>
        <v/>
      </c>
      <c r="G82" t="str">
        <f>IF(ISBLANK(F82),"",SUM(F$2:F82))</f>
        <v/>
      </c>
      <c r="I82" t="str">
        <f>IF(ISBLANK(H82),"",SUM(H$2:H82))</f>
        <v/>
      </c>
      <c r="K82" t="str">
        <f>IF(ISBLANK(J82),"",SUM(J$2:J82))</f>
        <v/>
      </c>
      <c r="M82" t="str">
        <f>IF(ISBLANK(L82),"",SUM(L$2:L82))</f>
        <v/>
      </c>
      <c r="O82" t="str">
        <f>IF(ISBLANK(N82),"",SUM(N$2:N82))</f>
        <v/>
      </c>
      <c r="Q82" t="str">
        <f>IF(ISBLANK(P82),"",SUM(P$2:P82))</f>
        <v/>
      </c>
      <c r="S82" t="str">
        <f>IF(ISBLANK(R82),"",SUM(R$2:R82))</f>
        <v/>
      </c>
    </row>
    <row r="83" spans="5:19" x14ac:dyDescent="0.3">
      <c r="E83" t="str">
        <f>IF(ISBLANK(D83),"",SUM(D$2:D83))</f>
        <v/>
      </c>
      <c r="G83" t="str">
        <f>IF(ISBLANK(F83),"",SUM(F$2:F83))</f>
        <v/>
      </c>
      <c r="I83" t="str">
        <f>IF(ISBLANK(H83),"",SUM(H$2:H83))</f>
        <v/>
      </c>
      <c r="K83" t="str">
        <f>IF(ISBLANK(J83),"",SUM(J$2:J83))</f>
        <v/>
      </c>
      <c r="M83" t="str">
        <f>IF(ISBLANK(L83),"",SUM(L$2:L83))</f>
        <v/>
      </c>
      <c r="O83" t="str">
        <f>IF(ISBLANK(N83),"",SUM(N$2:N83))</f>
        <v/>
      </c>
      <c r="Q83" t="str">
        <f>IF(ISBLANK(P83),"",SUM(P$2:P83))</f>
        <v/>
      </c>
      <c r="S83" t="str">
        <f>IF(ISBLANK(R83),"",SUM(R$2:R83))</f>
        <v/>
      </c>
    </row>
    <row r="84" spans="5:19" x14ac:dyDescent="0.3">
      <c r="E84" t="str">
        <f>IF(ISBLANK(D84),"",SUM(D$2:D84))</f>
        <v/>
      </c>
      <c r="G84" t="str">
        <f>IF(ISBLANK(F84),"",SUM(F$2:F84))</f>
        <v/>
      </c>
      <c r="I84" t="str">
        <f>IF(ISBLANK(H84),"",SUM(H$2:H84))</f>
        <v/>
      </c>
      <c r="K84" t="str">
        <f>IF(ISBLANK(J84),"",SUM(J$2:J84))</f>
        <v/>
      </c>
      <c r="M84" t="str">
        <f>IF(ISBLANK(L84),"",SUM(L$2:L84))</f>
        <v/>
      </c>
      <c r="O84" t="str">
        <f>IF(ISBLANK(N84),"",SUM(N$2:N84))</f>
        <v/>
      </c>
      <c r="Q84" t="str">
        <f>IF(ISBLANK(P84),"",SUM(P$2:P84))</f>
        <v/>
      </c>
      <c r="S84" t="str">
        <f>IF(ISBLANK(R84),"",SUM(R$2:R84))</f>
        <v/>
      </c>
    </row>
    <row r="85" spans="5:19" x14ac:dyDescent="0.3">
      <c r="E85" t="str">
        <f>IF(ISBLANK(D85),"",SUM(D$2:D85))</f>
        <v/>
      </c>
      <c r="G85" t="str">
        <f>IF(ISBLANK(F85),"",SUM(F$2:F85))</f>
        <v/>
      </c>
      <c r="I85" t="str">
        <f>IF(ISBLANK(H85),"",SUM(H$2:H85))</f>
        <v/>
      </c>
      <c r="K85" t="str">
        <f>IF(ISBLANK(J85),"",SUM(J$2:J85))</f>
        <v/>
      </c>
      <c r="M85" t="str">
        <f>IF(ISBLANK(L85),"",SUM(L$2:L85))</f>
        <v/>
      </c>
      <c r="O85" t="str">
        <f>IF(ISBLANK(N85),"",SUM(N$2:N85))</f>
        <v/>
      </c>
      <c r="Q85" t="str">
        <f>IF(ISBLANK(P85),"",SUM(P$2:P85))</f>
        <v/>
      </c>
      <c r="S85" t="str">
        <f>IF(ISBLANK(R85),"",SUM(R$2:R85))</f>
        <v/>
      </c>
    </row>
    <row r="86" spans="5:19" x14ac:dyDescent="0.3">
      <c r="E86" t="str">
        <f>IF(ISBLANK(D86),"",SUM(D$2:D86))</f>
        <v/>
      </c>
      <c r="G86" t="str">
        <f>IF(ISBLANK(F86),"",SUM(F$2:F86))</f>
        <v/>
      </c>
      <c r="I86" t="str">
        <f>IF(ISBLANK(H86),"",SUM(H$2:H86))</f>
        <v/>
      </c>
      <c r="K86" t="str">
        <f>IF(ISBLANK(J86),"",SUM(J$2:J86))</f>
        <v/>
      </c>
      <c r="M86" t="str">
        <f>IF(ISBLANK(L86),"",SUM(L$2:L86))</f>
        <v/>
      </c>
      <c r="O86" t="str">
        <f>IF(ISBLANK(N86),"",SUM(N$2:N86))</f>
        <v/>
      </c>
      <c r="Q86" t="str">
        <f>IF(ISBLANK(P86),"",SUM(P$2:P86))</f>
        <v/>
      </c>
      <c r="S86" t="str">
        <f>IF(ISBLANK(R86),"",SUM(R$2:R86))</f>
        <v/>
      </c>
    </row>
    <row r="87" spans="5:19" x14ac:dyDescent="0.3">
      <c r="E87" t="str">
        <f>IF(ISBLANK(D87),"",SUM(D$2:D87))</f>
        <v/>
      </c>
      <c r="G87" t="str">
        <f>IF(ISBLANK(F87),"",SUM(F$2:F87))</f>
        <v/>
      </c>
      <c r="I87" t="str">
        <f>IF(ISBLANK(H87),"",SUM(H$2:H87))</f>
        <v/>
      </c>
      <c r="K87" t="str">
        <f>IF(ISBLANK(J87),"",SUM(J$2:J87))</f>
        <v/>
      </c>
      <c r="M87" t="str">
        <f>IF(ISBLANK(L87),"",SUM(L$2:L87))</f>
        <v/>
      </c>
      <c r="O87" t="str">
        <f>IF(ISBLANK(N87),"",SUM(N$2:N87))</f>
        <v/>
      </c>
      <c r="Q87" t="str">
        <f>IF(ISBLANK(P87),"",SUM(P$2:P87))</f>
        <v/>
      </c>
      <c r="S87" t="str">
        <f>IF(ISBLANK(R87),"",SUM(R$2:R87))</f>
        <v/>
      </c>
    </row>
    <row r="88" spans="5:19" x14ac:dyDescent="0.3">
      <c r="E88" t="str">
        <f>IF(ISBLANK(D88),"",SUM(D$2:D88))</f>
        <v/>
      </c>
      <c r="G88" t="str">
        <f>IF(ISBLANK(F88),"",SUM(F$2:F88))</f>
        <v/>
      </c>
      <c r="I88" t="str">
        <f>IF(ISBLANK(H88),"",SUM(H$2:H88))</f>
        <v/>
      </c>
      <c r="K88" t="str">
        <f>IF(ISBLANK(J88),"",SUM(J$2:J88))</f>
        <v/>
      </c>
      <c r="M88" t="str">
        <f>IF(ISBLANK(L88),"",SUM(L$2:L88))</f>
        <v/>
      </c>
      <c r="O88" t="str">
        <f>IF(ISBLANK(N88),"",SUM(N$2:N88))</f>
        <v/>
      </c>
      <c r="Q88" t="str">
        <f>IF(ISBLANK(P88),"",SUM(P$2:P88))</f>
        <v/>
      </c>
      <c r="S88" t="str">
        <f>IF(ISBLANK(R88),"",SUM(R$2:R88))</f>
        <v/>
      </c>
    </row>
    <row r="89" spans="5:19" x14ac:dyDescent="0.3">
      <c r="E89" t="str">
        <f>IF(ISBLANK(D89),"",SUM(D$2:D89))</f>
        <v/>
      </c>
      <c r="G89" t="str">
        <f>IF(ISBLANK(F89),"",SUM(F$2:F89))</f>
        <v/>
      </c>
      <c r="I89" t="str">
        <f>IF(ISBLANK(H89),"",SUM(H$2:H89))</f>
        <v/>
      </c>
      <c r="K89" t="str">
        <f>IF(ISBLANK(J89),"",SUM(J$2:J89))</f>
        <v/>
      </c>
      <c r="M89" t="str">
        <f>IF(ISBLANK(L89),"",SUM(L$2:L89))</f>
        <v/>
      </c>
      <c r="O89" t="str">
        <f>IF(ISBLANK(N89),"",SUM(N$2:N89))</f>
        <v/>
      </c>
      <c r="Q89" t="str">
        <f>IF(ISBLANK(P89),"",SUM(P$2:P89))</f>
        <v/>
      </c>
      <c r="S89" t="str">
        <f>IF(ISBLANK(R89),"",SUM(R$2:R89))</f>
        <v/>
      </c>
    </row>
    <row r="90" spans="5:19" x14ac:dyDescent="0.3">
      <c r="E90" t="str">
        <f>IF(ISBLANK(D90),"",SUM(D$2:D90))</f>
        <v/>
      </c>
      <c r="G90" t="str">
        <f>IF(ISBLANK(F90),"",SUM(F$2:F90))</f>
        <v/>
      </c>
      <c r="I90" t="str">
        <f>IF(ISBLANK(H90),"",SUM(H$2:H90))</f>
        <v/>
      </c>
      <c r="K90" t="str">
        <f>IF(ISBLANK(J90),"",SUM(J$2:J90))</f>
        <v/>
      </c>
      <c r="M90" t="str">
        <f>IF(ISBLANK(L90),"",SUM(L$2:L90))</f>
        <v/>
      </c>
      <c r="O90" t="str">
        <f>IF(ISBLANK(N90),"",SUM(N$2:N90))</f>
        <v/>
      </c>
      <c r="Q90" t="str">
        <f>IF(ISBLANK(P90),"",SUM(P$2:P90))</f>
        <v/>
      </c>
      <c r="S90" t="str">
        <f>IF(ISBLANK(R90),"",SUM(R$2:R90))</f>
        <v/>
      </c>
    </row>
    <row r="91" spans="5:19" x14ac:dyDescent="0.3">
      <c r="E91" t="str">
        <f>IF(ISBLANK(D91),"",SUM(D$2:D91))</f>
        <v/>
      </c>
      <c r="G91" t="str">
        <f>IF(ISBLANK(F91),"",SUM(F$2:F91))</f>
        <v/>
      </c>
      <c r="I91" t="str">
        <f>IF(ISBLANK(H91),"",SUM(H$2:H91))</f>
        <v/>
      </c>
      <c r="K91" t="str">
        <f>IF(ISBLANK(J91),"",SUM(J$2:J91))</f>
        <v/>
      </c>
      <c r="M91" t="str">
        <f>IF(ISBLANK(L91),"",SUM(L$2:L91))</f>
        <v/>
      </c>
      <c r="O91" t="str">
        <f>IF(ISBLANK(N91),"",SUM(N$2:N91))</f>
        <v/>
      </c>
      <c r="Q91" t="str">
        <f>IF(ISBLANK(P91),"",SUM(P$2:P91))</f>
        <v/>
      </c>
      <c r="S91" t="str">
        <f>IF(ISBLANK(R91),"",SUM(R$2:R91))</f>
        <v/>
      </c>
    </row>
    <row r="92" spans="5:19" x14ac:dyDescent="0.3">
      <c r="E92" t="str">
        <f>IF(ISBLANK(D92),"",SUM(D$2:D92))</f>
        <v/>
      </c>
      <c r="G92" t="str">
        <f>IF(ISBLANK(F92),"",SUM(F$2:F92))</f>
        <v/>
      </c>
      <c r="I92" t="str">
        <f>IF(ISBLANK(H92),"",SUM(H$2:H92))</f>
        <v/>
      </c>
      <c r="K92" t="str">
        <f>IF(ISBLANK(J92),"",SUM(J$2:J92))</f>
        <v/>
      </c>
      <c r="M92" t="str">
        <f>IF(ISBLANK(L92),"",SUM(L$2:L92))</f>
        <v/>
      </c>
      <c r="O92" t="str">
        <f>IF(ISBLANK(N92),"",SUM(N$2:N92))</f>
        <v/>
      </c>
      <c r="Q92" t="str">
        <f>IF(ISBLANK(P92),"",SUM(P$2:P92))</f>
        <v/>
      </c>
      <c r="S92" t="str">
        <f>IF(ISBLANK(R92),"",SUM(R$2:R92))</f>
        <v/>
      </c>
    </row>
    <row r="93" spans="5:19" x14ac:dyDescent="0.3">
      <c r="E93" t="str">
        <f>IF(ISBLANK(D93),"",SUM(D$2:D93))</f>
        <v/>
      </c>
      <c r="G93" t="str">
        <f>IF(ISBLANK(F93),"",SUM(F$2:F93))</f>
        <v/>
      </c>
      <c r="I93" t="str">
        <f>IF(ISBLANK(H93),"",SUM(H$2:H93))</f>
        <v/>
      </c>
      <c r="K93" t="str">
        <f>IF(ISBLANK(J93),"",SUM(J$2:J93))</f>
        <v/>
      </c>
      <c r="M93" t="str">
        <f>IF(ISBLANK(L93),"",SUM(L$2:L93))</f>
        <v/>
      </c>
      <c r="O93" t="str">
        <f>IF(ISBLANK(N93),"",SUM(N$2:N93))</f>
        <v/>
      </c>
      <c r="Q93" t="str">
        <f>IF(ISBLANK(P93),"",SUM(P$2:P93))</f>
        <v/>
      </c>
      <c r="S93" t="str">
        <f>IF(ISBLANK(R93),"",SUM(R$2:R93))</f>
        <v/>
      </c>
    </row>
    <row r="94" spans="5:19" x14ac:dyDescent="0.3">
      <c r="E94" t="str">
        <f>IF(ISBLANK(D94),"",SUM(D$2:D94))</f>
        <v/>
      </c>
      <c r="G94" t="str">
        <f>IF(ISBLANK(F94),"",SUM(F$2:F94))</f>
        <v/>
      </c>
      <c r="I94" t="str">
        <f>IF(ISBLANK(H94),"",SUM(H$2:H94))</f>
        <v/>
      </c>
      <c r="K94" t="str">
        <f>IF(ISBLANK(J94),"",SUM(J$2:J94))</f>
        <v/>
      </c>
      <c r="M94" t="str">
        <f>IF(ISBLANK(L94),"",SUM(L$2:L94))</f>
        <v/>
      </c>
      <c r="O94" t="str">
        <f>IF(ISBLANK(N94),"",SUM(N$2:N94))</f>
        <v/>
      </c>
      <c r="Q94" t="str">
        <f>IF(ISBLANK(P94),"",SUM(P$2:P94))</f>
        <v/>
      </c>
      <c r="S94" t="str">
        <f>IF(ISBLANK(R94),"",SUM(R$2:R94))</f>
        <v/>
      </c>
    </row>
    <row r="95" spans="5:19" x14ac:dyDescent="0.3">
      <c r="E95" t="str">
        <f>IF(ISBLANK(D95),"",SUM(D$2:D95))</f>
        <v/>
      </c>
      <c r="G95" t="str">
        <f>IF(ISBLANK(F95),"",SUM(F$2:F95))</f>
        <v/>
      </c>
      <c r="I95" t="str">
        <f>IF(ISBLANK(H95),"",SUM(H$2:H95))</f>
        <v/>
      </c>
      <c r="K95" t="str">
        <f>IF(ISBLANK(J95),"",SUM(J$2:J95))</f>
        <v/>
      </c>
      <c r="M95" t="str">
        <f>IF(ISBLANK(L95),"",SUM(L$2:L95))</f>
        <v/>
      </c>
      <c r="O95" t="str">
        <f>IF(ISBLANK(N95),"",SUM(N$2:N95))</f>
        <v/>
      </c>
      <c r="Q95" t="str">
        <f>IF(ISBLANK(P95),"",SUM(P$2:P95))</f>
        <v/>
      </c>
      <c r="S95" t="str">
        <f>IF(ISBLANK(R95),"",SUM(R$2:R95))</f>
        <v/>
      </c>
    </row>
    <row r="96" spans="5:19" x14ac:dyDescent="0.3">
      <c r="E96" t="str">
        <f>IF(ISBLANK(D96),"",SUM(D$2:D96))</f>
        <v/>
      </c>
      <c r="G96" t="str">
        <f>IF(ISBLANK(F96),"",SUM(F$2:F96))</f>
        <v/>
      </c>
      <c r="I96" t="str">
        <f>IF(ISBLANK(H96),"",SUM(H$2:H96))</f>
        <v/>
      </c>
      <c r="K96" t="str">
        <f>IF(ISBLANK(J96),"",SUM(J$2:J96))</f>
        <v/>
      </c>
      <c r="M96" t="str">
        <f>IF(ISBLANK(L96),"",SUM(L$2:L96))</f>
        <v/>
      </c>
      <c r="O96" t="str">
        <f>IF(ISBLANK(N96),"",SUM(N$2:N96))</f>
        <v/>
      </c>
      <c r="Q96" t="str">
        <f>IF(ISBLANK(P96),"",SUM(P$2:P96))</f>
        <v/>
      </c>
      <c r="S96" t="str">
        <f>IF(ISBLANK(R96),"",SUM(R$2:R96))</f>
        <v/>
      </c>
    </row>
    <row r="97" spans="5:19" x14ac:dyDescent="0.3">
      <c r="E97" t="str">
        <f>IF(ISBLANK(D97),"",SUM(D$2:D97))</f>
        <v/>
      </c>
      <c r="G97" t="str">
        <f>IF(ISBLANK(F97),"",SUM(F$2:F97))</f>
        <v/>
      </c>
      <c r="I97" t="str">
        <f>IF(ISBLANK(H97),"",SUM(H$2:H97))</f>
        <v/>
      </c>
      <c r="K97" t="str">
        <f>IF(ISBLANK(J97),"",SUM(J$2:J97))</f>
        <v/>
      </c>
      <c r="M97" t="str">
        <f>IF(ISBLANK(L97),"",SUM(L$2:L97))</f>
        <v/>
      </c>
      <c r="O97" t="str">
        <f>IF(ISBLANK(N97),"",SUM(N$2:N97))</f>
        <v/>
      </c>
      <c r="Q97" t="str">
        <f>IF(ISBLANK(P97),"",SUM(P$2:P97))</f>
        <v/>
      </c>
      <c r="S97" t="str">
        <f>IF(ISBLANK(R97),"",SUM(R$2:R97))</f>
        <v/>
      </c>
    </row>
    <row r="98" spans="5:19" x14ac:dyDescent="0.3">
      <c r="E98" t="str">
        <f>IF(ISBLANK(D98),"",SUM(D$2:D98))</f>
        <v/>
      </c>
      <c r="G98" t="str">
        <f>IF(ISBLANK(F98),"",SUM(F$2:F98))</f>
        <v/>
      </c>
      <c r="I98" t="str">
        <f>IF(ISBLANK(H98),"",SUM(H$2:H98))</f>
        <v/>
      </c>
      <c r="K98" t="str">
        <f>IF(ISBLANK(J98),"",SUM(J$2:J98))</f>
        <v/>
      </c>
      <c r="M98" t="str">
        <f>IF(ISBLANK(L98),"",SUM(L$2:L98))</f>
        <v/>
      </c>
      <c r="O98" t="str">
        <f>IF(ISBLANK(N98),"",SUM(N$2:N98))</f>
        <v/>
      </c>
      <c r="Q98" t="str">
        <f>IF(ISBLANK(P98),"",SUM(P$2:P98))</f>
        <v/>
      </c>
      <c r="S98" t="str">
        <f>IF(ISBLANK(R98),"",SUM(R$2:R98))</f>
        <v/>
      </c>
    </row>
    <row r="99" spans="5:19" x14ac:dyDescent="0.3">
      <c r="E99" t="str">
        <f>IF(ISBLANK(D99),"",SUM(D$2:D99))</f>
        <v/>
      </c>
      <c r="G99" t="str">
        <f>IF(ISBLANK(F99),"",SUM(F$2:F99))</f>
        <v/>
      </c>
      <c r="I99" t="str">
        <f>IF(ISBLANK(H99),"",SUM(H$2:H99))</f>
        <v/>
      </c>
      <c r="K99" t="str">
        <f>IF(ISBLANK(J99),"",SUM(J$2:J99))</f>
        <v/>
      </c>
      <c r="M99" t="str">
        <f>IF(ISBLANK(L99),"",SUM(L$2:L99))</f>
        <v/>
      </c>
      <c r="O99" t="str">
        <f>IF(ISBLANK(N99),"",SUM(N$2:N99))</f>
        <v/>
      </c>
      <c r="Q99" t="str">
        <f>IF(ISBLANK(P99),"",SUM(P$2:P99))</f>
        <v/>
      </c>
      <c r="S99" t="str">
        <f>IF(ISBLANK(R99),"",SUM(R$2:R99))</f>
        <v/>
      </c>
    </row>
    <row r="100" spans="5:19" x14ac:dyDescent="0.3">
      <c r="E100" t="str">
        <f>IF(ISBLANK(D100),"",SUM(D$2:D100))</f>
        <v/>
      </c>
      <c r="G100" t="str">
        <f>IF(ISBLANK(F100),"",SUM(F$2:F100))</f>
        <v/>
      </c>
      <c r="I100" t="str">
        <f>IF(ISBLANK(H100),"",SUM(H$2:H100))</f>
        <v/>
      </c>
      <c r="K100" t="str">
        <f>IF(ISBLANK(J100),"",SUM(J$2:J100))</f>
        <v/>
      </c>
      <c r="M100" t="str">
        <f>IF(ISBLANK(L100),"",SUM(L$2:L100))</f>
        <v/>
      </c>
      <c r="O100" t="str">
        <f>IF(ISBLANK(N100),"",SUM(N$2:N100))</f>
        <v/>
      </c>
      <c r="Q100" t="str">
        <f>IF(ISBLANK(P100),"",SUM(P$2:P100))</f>
        <v/>
      </c>
      <c r="S100" t="str">
        <f>IF(ISBLANK(R100),"",SUM(R$2:R100))</f>
        <v/>
      </c>
    </row>
    <row r="101" spans="5:19" x14ac:dyDescent="0.3">
      <c r="E101" t="str">
        <f>IF(ISBLANK(D101),"",SUM(D$2:D101))</f>
        <v/>
      </c>
      <c r="G101" t="str">
        <f>IF(ISBLANK(F101),"",SUM(F$2:F101))</f>
        <v/>
      </c>
      <c r="I101" t="str">
        <f>IF(ISBLANK(H101),"",SUM(H$2:H101))</f>
        <v/>
      </c>
      <c r="K101" t="str">
        <f>IF(ISBLANK(J101),"",SUM(J$2:J101))</f>
        <v/>
      </c>
      <c r="M101" t="str">
        <f>IF(ISBLANK(L101),"",SUM(L$2:L101))</f>
        <v/>
      </c>
      <c r="O101" t="str">
        <f>IF(ISBLANK(N101),"",SUM(N$2:N101))</f>
        <v/>
      </c>
      <c r="Q101" t="str">
        <f>IF(ISBLANK(P101),"",SUM(P$2:P101))</f>
        <v/>
      </c>
      <c r="S101" t="str">
        <f>IF(ISBLANK(R101),"",SUM(R$2:R101))</f>
        <v/>
      </c>
    </row>
    <row r="102" spans="5:19" x14ac:dyDescent="0.3">
      <c r="E102" t="str">
        <f>IF(ISBLANK(D102),"",SUM(D$2:D102))</f>
        <v/>
      </c>
      <c r="G102" t="str">
        <f>IF(ISBLANK(F102),"",SUM(F$2:F102))</f>
        <v/>
      </c>
      <c r="I102" t="str">
        <f>IF(ISBLANK(H102),"",SUM(H$2:H102))</f>
        <v/>
      </c>
      <c r="K102" t="str">
        <f>IF(ISBLANK(J102),"",SUM(J$2:J102))</f>
        <v/>
      </c>
      <c r="M102" t="str">
        <f>IF(ISBLANK(L102),"",SUM(L$2:L102))</f>
        <v/>
      </c>
      <c r="O102" t="str">
        <f>IF(ISBLANK(N102),"",SUM(N$2:N102))</f>
        <v/>
      </c>
      <c r="Q102" t="str">
        <f>IF(ISBLANK(P102),"",SUM(P$2:P102))</f>
        <v/>
      </c>
      <c r="S102" t="str">
        <f>IF(ISBLANK(R102),"",SUM(R$2:R102))</f>
        <v/>
      </c>
    </row>
    <row r="103" spans="5:19" x14ac:dyDescent="0.3">
      <c r="E103" t="str">
        <f>IF(ISBLANK(D103),"",SUM(D$2:D103))</f>
        <v/>
      </c>
      <c r="G103" t="str">
        <f>IF(ISBLANK(F103),"",SUM(F$2:F103))</f>
        <v/>
      </c>
      <c r="I103" t="str">
        <f>IF(ISBLANK(H103),"",SUM(H$2:H103))</f>
        <v/>
      </c>
      <c r="K103" t="str">
        <f>IF(ISBLANK(J103),"",SUM(J$2:J103))</f>
        <v/>
      </c>
      <c r="M103" t="str">
        <f>IF(ISBLANK(L103),"",SUM(L$2:L103))</f>
        <v/>
      </c>
      <c r="O103" t="str">
        <f>IF(ISBLANK(N103),"",SUM(N$2:N103))</f>
        <v/>
      </c>
      <c r="Q103" t="str">
        <f>IF(ISBLANK(P103),"",SUM(P$2:P103))</f>
        <v/>
      </c>
      <c r="S103" t="str">
        <f>IF(ISBLANK(R103),"",SUM(R$2:R103))</f>
        <v/>
      </c>
    </row>
    <row r="104" spans="5:19" x14ac:dyDescent="0.3">
      <c r="E104" t="str">
        <f>IF(ISBLANK(D104),"",SUM(D$2:D104))</f>
        <v/>
      </c>
      <c r="G104" t="str">
        <f>IF(ISBLANK(F104),"",SUM(F$2:F104))</f>
        <v/>
      </c>
      <c r="I104" t="str">
        <f>IF(ISBLANK(H104),"",SUM(H$2:H104))</f>
        <v/>
      </c>
      <c r="K104" t="str">
        <f>IF(ISBLANK(J104),"",SUM(J$2:J104))</f>
        <v/>
      </c>
      <c r="M104" t="str">
        <f>IF(ISBLANK(L104),"",SUM(L$2:L104))</f>
        <v/>
      </c>
      <c r="O104" t="str">
        <f>IF(ISBLANK(N104),"",SUM(N$2:N104))</f>
        <v/>
      </c>
      <c r="Q104" t="str">
        <f>IF(ISBLANK(P104),"",SUM(P$2:P104))</f>
        <v/>
      </c>
      <c r="S104" t="str">
        <f>IF(ISBLANK(R104),"",SUM(R$2:R104))</f>
        <v/>
      </c>
    </row>
    <row r="105" spans="5:19" x14ac:dyDescent="0.3">
      <c r="E105" t="str">
        <f>IF(ISBLANK(D105),"",SUM(D$2:D105))</f>
        <v/>
      </c>
      <c r="G105" t="str">
        <f>IF(ISBLANK(F105),"",SUM(F$2:F105))</f>
        <v/>
      </c>
      <c r="I105" t="str">
        <f>IF(ISBLANK(H105),"",SUM(H$2:H105))</f>
        <v/>
      </c>
      <c r="K105" t="str">
        <f>IF(ISBLANK(J105),"",SUM(J$2:J105))</f>
        <v/>
      </c>
      <c r="M105" t="str">
        <f>IF(ISBLANK(L105),"",SUM(L$2:L105))</f>
        <v/>
      </c>
      <c r="O105" t="str">
        <f>IF(ISBLANK(N105),"",SUM(N$2:N105))</f>
        <v/>
      </c>
      <c r="Q105" t="str">
        <f>IF(ISBLANK(P105),"",SUM(P$2:P105))</f>
        <v/>
      </c>
      <c r="S105" t="str">
        <f>IF(ISBLANK(R105),"",SUM(R$2:R105))</f>
        <v/>
      </c>
    </row>
    <row r="106" spans="5:19" x14ac:dyDescent="0.3">
      <c r="E106" t="str">
        <f>IF(ISBLANK(D106),"",SUM(D$2:D106))</f>
        <v/>
      </c>
      <c r="G106" t="str">
        <f>IF(ISBLANK(F106),"",SUM(F$2:F106))</f>
        <v/>
      </c>
      <c r="I106" t="str">
        <f>IF(ISBLANK(H106),"",SUM(H$2:H106))</f>
        <v/>
      </c>
      <c r="K106" t="str">
        <f>IF(ISBLANK(J106),"",SUM(J$2:J106))</f>
        <v/>
      </c>
      <c r="M106" t="str">
        <f>IF(ISBLANK(L106),"",SUM(L$2:L106))</f>
        <v/>
      </c>
      <c r="O106" t="str">
        <f>IF(ISBLANK(N106),"",SUM(N$2:N106))</f>
        <v/>
      </c>
      <c r="Q106" t="str">
        <f>IF(ISBLANK(P106),"",SUM(P$2:P106))</f>
        <v/>
      </c>
      <c r="S106" t="str">
        <f>IF(ISBLANK(R106),"",SUM(R$2:R106))</f>
        <v/>
      </c>
    </row>
    <row r="107" spans="5:19" x14ac:dyDescent="0.3">
      <c r="E107" t="str">
        <f>IF(ISBLANK(D107),"",SUM(D$2:D107))</f>
        <v/>
      </c>
      <c r="G107" t="str">
        <f>IF(ISBLANK(F107),"",SUM(F$2:F107))</f>
        <v/>
      </c>
      <c r="I107" t="str">
        <f>IF(ISBLANK(H107),"",SUM(H$2:H107))</f>
        <v/>
      </c>
      <c r="K107" t="str">
        <f>IF(ISBLANK(J107),"",SUM(J$2:J107))</f>
        <v/>
      </c>
      <c r="M107" t="str">
        <f>IF(ISBLANK(L107),"",SUM(L$2:L107))</f>
        <v/>
      </c>
      <c r="O107" t="str">
        <f>IF(ISBLANK(N107),"",SUM(N$2:N107))</f>
        <v/>
      </c>
      <c r="Q107" t="str">
        <f>IF(ISBLANK(P107),"",SUM(P$2:P107))</f>
        <v/>
      </c>
      <c r="S107" t="str">
        <f>IF(ISBLANK(R107),"",SUM(R$2:R107))</f>
        <v/>
      </c>
    </row>
    <row r="108" spans="5:19" x14ac:dyDescent="0.3">
      <c r="E108" t="str">
        <f>IF(ISBLANK(D108),"",SUM(D$2:D108))</f>
        <v/>
      </c>
      <c r="G108" t="str">
        <f>IF(ISBLANK(F108),"",SUM(F$2:F108))</f>
        <v/>
      </c>
      <c r="I108" t="str">
        <f>IF(ISBLANK(H108),"",SUM(H$2:H108))</f>
        <v/>
      </c>
      <c r="K108" t="str">
        <f>IF(ISBLANK(J108),"",SUM(J$2:J108))</f>
        <v/>
      </c>
      <c r="M108" t="str">
        <f>IF(ISBLANK(L108),"",SUM(L$2:L108))</f>
        <v/>
      </c>
      <c r="O108" t="str">
        <f>IF(ISBLANK(N108),"",SUM(N$2:N108))</f>
        <v/>
      </c>
      <c r="Q108" t="str">
        <f>IF(ISBLANK(P108),"",SUM(P$2:P108))</f>
        <v/>
      </c>
      <c r="S108" t="str">
        <f>IF(ISBLANK(R108),"",SUM(R$2:R108))</f>
        <v/>
      </c>
    </row>
    <row r="109" spans="5:19" x14ac:dyDescent="0.3">
      <c r="E109" t="str">
        <f>IF(ISBLANK(D109),"",SUM(D$2:D109))</f>
        <v/>
      </c>
      <c r="G109" t="str">
        <f>IF(ISBLANK(F109),"",SUM(F$2:F109))</f>
        <v/>
      </c>
      <c r="I109" t="str">
        <f>IF(ISBLANK(H109),"",SUM(H$2:H109))</f>
        <v/>
      </c>
      <c r="K109" t="str">
        <f>IF(ISBLANK(J109),"",SUM(J$2:J109))</f>
        <v/>
      </c>
      <c r="M109" t="str">
        <f>IF(ISBLANK(L109),"",SUM(L$2:L109))</f>
        <v/>
      </c>
      <c r="O109" t="str">
        <f>IF(ISBLANK(N109),"",SUM(N$2:N109))</f>
        <v/>
      </c>
      <c r="Q109" t="str">
        <f>IF(ISBLANK(P109),"",SUM(P$2:P109))</f>
        <v/>
      </c>
      <c r="S109" t="str">
        <f>IF(ISBLANK(R109),"",SUM(R$2:R109))</f>
        <v/>
      </c>
    </row>
    <row r="110" spans="5:19" x14ac:dyDescent="0.3">
      <c r="E110" t="str">
        <f>IF(ISBLANK(D110),"",SUM(D$2:D110))</f>
        <v/>
      </c>
      <c r="G110" t="str">
        <f>IF(ISBLANK(F110),"",SUM(F$2:F110))</f>
        <v/>
      </c>
      <c r="I110" t="str">
        <f>IF(ISBLANK(H110),"",SUM(H$2:H110))</f>
        <v/>
      </c>
      <c r="K110" t="str">
        <f>IF(ISBLANK(J110),"",SUM(J$2:J110))</f>
        <v/>
      </c>
      <c r="M110" t="str">
        <f>IF(ISBLANK(L110),"",SUM(L$2:L110))</f>
        <v/>
      </c>
      <c r="O110" t="str">
        <f>IF(ISBLANK(N110),"",SUM(N$2:N110))</f>
        <v/>
      </c>
      <c r="Q110" t="str">
        <f>IF(ISBLANK(P110),"",SUM(P$2:P110))</f>
        <v/>
      </c>
      <c r="S110" t="str">
        <f>IF(ISBLANK(R110),"",SUM(R$2:R110))</f>
        <v/>
      </c>
    </row>
    <row r="111" spans="5:19" x14ac:dyDescent="0.3">
      <c r="E111" t="str">
        <f>IF(ISBLANK(D111),"",SUM(D$2:D111))</f>
        <v/>
      </c>
      <c r="G111" t="str">
        <f>IF(ISBLANK(F111),"",SUM(F$2:F111))</f>
        <v/>
      </c>
      <c r="I111" t="str">
        <f>IF(ISBLANK(H111),"",SUM(H$2:H111))</f>
        <v/>
      </c>
      <c r="K111" t="str">
        <f>IF(ISBLANK(J111),"",SUM(J$2:J111))</f>
        <v/>
      </c>
      <c r="M111" t="str">
        <f>IF(ISBLANK(L111),"",SUM(L$2:L111))</f>
        <v/>
      </c>
      <c r="O111" t="str">
        <f>IF(ISBLANK(N111),"",SUM(N$2:N111))</f>
        <v/>
      </c>
      <c r="Q111" t="str">
        <f>IF(ISBLANK(P111),"",SUM(P$2:P111))</f>
        <v/>
      </c>
      <c r="S111" t="str">
        <f>IF(ISBLANK(R111),"",SUM(R$2:R111))</f>
        <v/>
      </c>
    </row>
    <row r="112" spans="5:19" x14ac:dyDescent="0.3">
      <c r="E112" t="str">
        <f>IF(ISBLANK(D112),"",SUM(D$2:D112))</f>
        <v/>
      </c>
      <c r="G112" t="str">
        <f>IF(ISBLANK(F112),"",SUM(F$2:F112))</f>
        <v/>
      </c>
      <c r="I112" t="str">
        <f>IF(ISBLANK(H112),"",SUM(H$2:H112))</f>
        <v/>
      </c>
      <c r="K112" t="str">
        <f>IF(ISBLANK(J112),"",SUM(J$2:J112))</f>
        <v/>
      </c>
      <c r="M112" t="str">
        <f>IF(ISBLANK(L112),"",SUM(L$2:L112))</f>
        <v/>
      </c>
      <c r="O112" t="str">
        <f>IF(ISBLANK(N112),"",SUM(N$2:N112))</f>
        <v/>
      </c>
      <c r="Q112" t="str">
        <f>IF(ISBLANK(P112),"",SUM(P$2:P112))</f>
        <v/>
      </c>
      <c r="S112" t="str">
        <f>IF(ISBLANK(R112),"",SUM(R$2:R112))</f>
        <v/>
      </c>
    </row>
    <row r="113" spans="5:19" x14ac:dyDescent="0.3">
      <c r="E113" t="str">
        <f>IF(ISBLANK(D113),"",SUM(D$2:D113))</f>
        <v/>
      </c>
      <c r="G113" t="str">
        <f>IF(ISBLANK(F113),"",SUM(F$2:F113))</f>
        <v/>
      </c>
      <c r="I113" t="str">
        <f>IF(ISBLANK(H113),"",SUM(H$2:H113))</f>
        <v/>
      </c>
      <c r="K113" t="str">
        <f>IF(ISBLANK(J113),"",SUM(J$2:J113))</f>
        <v/>
      </c>
      <c r="M113" t="str">
        <f>IF(ISBLANK(L113),"",SUM(L$2:L113))</f>
        <v/>
      </c>
      <c r="O113" t="str">
        <f>IF(ISBLANK(N113),"",SUM(N$2:N113))</f>
        <v/>
      </c>
      <c r="Q113" t="str">
        <f>IF(ISBLANK(P113),"",SUM(P$2:P113))</f>
        <v/>
      </c>
      <c r="S113" t="str">
        <f>IF(ISBLANK(R113),"",SUM(R$2:R113))</f>
        <v/>
      </c>
    </row>
    <row r="114" spans="5:19" x14ac:dyDescent="0.3">
      <c r="E114" t="str">
        <f>IF(ISBLANK(D114),"",SUM(D$2:D114))</f>
        <v/>
      </c>
      <c r="G114" t="str">
        <f>IF(ISBLANK(F114),"",SUM(F$2:F114))</f>
        <v/>
      </c>
      <c r="I114" t="str">
        <f>IF(ISBLANK(H114),"",SUM(H$2:H114))</f>
        <v/>
      </c>
      <c r="K114" t="str">
        <f>IF(ISBLANK(J114),"",SUM(J$2:J114))</f>
        <v/>
      </c>
      <c r="M114" t="str">
        <f>IF(ISBLANK(L114),"",SUM(L$2:L114))</f>
        <v/>
      </c>
      <c r="O114" t="str">
        <f>IF(ISBLANK(N114),"",SUM(N$2:N114))</f>
        <v/>
      </c>
      <c r="Q114" t="str">
        <f>IF(ISBLANK(P114),"",SUM(P$2:P114))</f>
        <v/>
      </c>
      <c r="S114" t="str">
        <f>IF(ISBLANK(R114),"",SUM(R$2:R114))</f>
        <v/>
      </c>
    </row>
    <row r="115" spans="5:19" x14ac:dyDescent="0.3">
      <c r="E115" t="str">
        <f>IF(ISBLANK(D115),"",SUM(D$2:D115))</f>
        <v/>
      </c>
      <c r="G115" t="str">
        <f>IF(ISBLANK(F115),"",SUM(F$2:F115))</f>
        <v/>
      </c>
      <c r="I115" t="str">
        <f>IF(ISBLANK(H115),"",SUM(H$2:H115))</f>
        <v/>
      </c>
      <c r="K115" t="str">
        <f>IF(ISBLANK(J115),"",SUM(J$2:J115))</f>
        <v/>
      </c>
      <c r="M115" t="str">
        <f>IF(ISBLANK(L115),"",SUM(L$2:L115))</f>
        <v/>
      </c>
      <c r="O115" t="str">
        <f>IF(ISBLANK(N115),"",SUM(N$2:N115))</f>
        <v/>
      </c>
      <c r="Q115" t="str">
        <f>IF(ISBLANK(P115),"",SUM(P$2:P115))</f>
        <v/>
      </c>
      <c r="S115" t="str">
        <f>IF(ISBLANK(R115),"",SUM(R$2:R115))</f>
        <v/>
      </c>
    </row>
    <row r="116" spans="5:19" x14ac:dyDescent="0.3">
      <c r="E116" t="str">
        <f>IF(ISBLANK(D116),"",SUM(D$2:D116))</f>
        <v/>
      </c>
      <c r="G116" t="str">
        <f>IF(ISBLANK(F116),"",SUM(F$2:F116))</f>
        <v/>
      </c>
      <c r="I116" t="str">
        <f>IF(ISBLANK(H116),"",SUM(H$2:H116))</f>
        <v/>
      </c>
      <c r="K116" t="str">
        <f>IF(ISBLANK(J116),"",SUM(J$2:J116))</f>
        <v/>
      </c>
      <c r="M116" t="str">
        <f>IF(ISBLANK(L116),"",SUM(L$2:L116))</f>
        <v/>
      </c>
      <c r="O116" t="str">
        <f>IF(ISBLANK(N116),"",SUM(N$2:N116))</f>
        <v/>
      </c>
      <c r="Q116" t="str">
        <f>IF(ISBLANK(P116),"",SUM(P$2:P116))</f>
        <v/>
      </c>
      <c r="S116" t="str">
        <f>IF(ISBLANK(R116),"",SUM(R$2:R116))</f>
        <v/>
      </c>
    </row>
    <row r="117" spans="5:19" x14ac:dyDescent="0.3">
      <c r="E117" t="str">
        <f>IF(ISBLANK(D117),"",SUM(D$2:D117))</f>
        <v/>
      </c>
      <c r="G117" t="str">
        <f>IF(ISBLANK(F117),"",SUM(F$2:F117))</f>
        <v/>
      </c>
      <c r="I117" t="str">
        <f>IF(ISBLANK(H117),"",SUM(H$2:H117))</f>
        <v/>
      </c>
      <c r="K117" t="str">
        <f>IF(ISBLANK(J117),"",SUM(J$2:J117))</f>
        <v/>
      </c>
      <c r="M117" t="str">
        <f>IF(ISBLANK(L117),"",SUM(L$2:L117))</f>
        <v/>
      </c>
      <c r="O117" t="str">
        <f>IF(ISBLANK(N117),"",SUM(N$2:N117))</f>
        <v/>
      </c>
      <c r="Q117" t="str">
        <f>IF(ISBLANK(P117),"",SUM(P$2:P117))</f>
        <v/>
      </c>
      <c r="S117" t="str">
        <f>IF(ISBLANK(R117),"",SUM(R$2:R117))</f>
        <v/>
      </c>
    </row>
    <row r="118" spans="5:19" x14ac:dyDescent="0.3">
      <c r="E118" t="str">
        <f>IF(ISBLANK(D118),"",SUM(D$2:D118))</f>
        <v/>
      </c>
      <c r="G118" t="str">
        <f>IF(ISBLANK(F118),"",SUM(F$2:F118))</f>
        <v/>
      </c>
      <c r="I118" t="str">
        <f>IF(ISBLANK(H118),"",SUM(H$2:H118))</f>
        <v/>
      </c>
      <c r="K118" t="str">
        <f>IF(ISBLANK(J118),"",SUM(J$2:J118))</f>
        <v/>
      </c>
      <c r="M118" t="str">
        <f>IF(ISBLANK(L118),"",SUM(L$2:L118))</f>
        <v/>
      </c>
      <c r="O118" t="str">
        <f>IF(ISBLANK(N118),"",SUM(N$2:N118))</f>
        <v/>
      </c>
      <c r="Q118" t="str">
        <f>IF(ISBLANK(P118),"",SUM(P$2:P118))</f>
        <v/>
      </c>
      <c r="S118" t="str">
        <f>IF(ISBLANK(R118),"",SUM(R$2:R118))</f>
        <v/>
      </c>
    </row>
    <row r="119" spans="5:19" x14ac:dyDescent="0.3">
      <c r="E119" t="str">
        <f>IF(ISBLANK(D119),"",SUM(D$2:D119))</f>
        <v/>
      </c>
      <c r="G119" t="str">
        <f>IF(ISBLANK(F119),"",SUM(F$2:F119))</f>
        <v/>
      </c>
      <c r="I119" t="str">
        <f>IF(ISBLANK(H119),"",SUM(H$2:H119))</f>
        <v/>
      </c>
      <c r="K119" t="str">
        <f>IF(ISBLANK(J119),"",SUM(J$2:J119))</f>
        <v/>
      </c>
      <c r="M119" t="str">
        <f>IF(ISBLANK(L119),"",SUM(L$2:L119))</f>
        <v/>
      </c>
      <c r="O119" t="str">
        <f>IF(ISBLANK(N119),"",SUM(N$2:N119))</f>
        <v/>
      </c>
      <c r="Q119" t="str">
        <f>IF(ISBLANK(P119),"",SUM(P$2:P119))</f>
        <v/>
      </c>
      <c r="S119" t="str">
        <f>IF(ISBLANK(R119),"",SUM(R$2:R119))</f>
        <v/>
      </c>
    </row>
    <row r="120" spans="5:19" x14ac:dyDescent="0.3">
      <c r="E120" t="str">
        <f>IF(ISBLANK(D120),"",SUM(D$2:D120))</f>
        <v/>
      </c>
      <c r="G120" t="str">
        <f>IF(ISBLANK(F120),"",SUM(F$2:F120))</f>
        <v/>
      </c>
      <c r="I120" t="str">
        <f>IF(ISBLANK(H120),"",SUM(H$2:H120))</f>
        <v/>
      </c>
      <c r="K120" t="str">
        <f>IF(ISBLANK(J120),"",SUM(J$2:J120))</f>
        <v/>
      </c>
      <c r="M120" t="str">
        <f>IF(ISBLANK(L120),"",SUM(L$2:L120))</f>
        <v/>
      </c>
      <c r="O120" t="str">
        <f>IF(ISBLANK(N120),"",SUM(N$2:N120))</f>
        <v/>
      </c>
      <c r="Q120" t="str">
        <f>IF(ISBLANK(P120),"",SUM(P$2:P120))</f>
        <v/>
      </c>
      <c r="S120" t="str">
        <f>IF(ISBLANK(R120),"",SUM(R$2:R120))</f>
        <v/>
      </c>
    </row>
    <row r="121" spans="5:19" x14ac:dyDescent="0.3">
      <c r="E121" t="str">
        <f>IF(ISBLANK(D121),"",SUM(D$2:D121))</f>
        <v/>
      </c>
      <c r="G121" t="str">
        <f>IF(ISBLANK(F121),"",SUM(F$2:F121))</f>
        <v/>
      </c>
      <c r="I121" t="str">
        <f>IF(ISBLANK(H121),"",SUM(H$2:H121))</f>
        <v/>
      </c>
      <c r="K121" t="str">
        <f>IF(ISBLANK(J121),"",SUM(J$2:J121))</f>
        <v/>
      </c>
      <c r="M121" t="str">
        <f>IF(ISBLANK(L121),"",SUM(L$2:L121))</f>
        <v/>
      </c>
      <c r="O121" t="str">
        <f>IF(ISBLANK(N121),"",SUM(N$2:N121))</f>
        <v/>
      </c>
      <c r="Q121" t="str">
        <f>IF(ISBLANK(P121),"",SUM(P$2:P121))</f>
        <v/>
      </c>
      <c r="S121" t="str">
        <f>IF(ISBLANK(R121),"",SUM(R$2:R121))</f>
        <v/>
      </c>
    </row>
    <row r="122" spans="5:19" x14ac:dyDescent="0.3">
      <c r="E122" t="str">
        <f>IF(ISBLANK(D122),"",SUM(D$2:D122))</f>
        <v/>
      </c>
      <c r="G122" t="str">
        <f>IF(ISBLANK(F122),"",SUM(F$2:F122))</f>
        <v/>
      </c>
      <c r="I122" t="str">
        <f>IF(ISBLANK(H122),"",SUM(H$2:H122))</f>
        <v/>
      </c>
      <c r="K122" t="str">
        <f>IF(ISBLANK(J122),"",SUM(J$2:J122))</f>
        <v/>
      </c>
      <c r="M122" t="str">
        <f>IF(ISBLANK(L122),"",SUM(L$2:L122))</f>
        <v/>
      </c>
      <c r="O122" t="str">
        <f>IF(ISBLANK(N122),"",SUM(N$2:N122))</f>
        <v/>
      </c>
      <c r="Q122" t="str">
        <f>IF(ISBLANK(P122),"",SUM(P$2:P122))</f>
        <v/>
      </c>
      <c r="S122" t="str">
        <f>IF(ISBLANK(R122),"",SUM(R$2:R122))</f>
        <v/>
      </c>
    </row>
    <row r="123" spans="5:19" x14ac:dyDescent="0.3">
      <c r="E123" t="str">
        <f>IF(ISBLANK(D123),"",SUM(D$2:D123))</f>
        <v/>
      </c>
      <c r="G123" t="str">
        <f>IF(ISBLANK(F123),"",SUM(F$2:F123))</f>
        <v/>
      </c>
      <c r="I123" t="str">
        <f>IF(ISBLANK(H123),"",SUM(H$2:H123))</f>
        <v/>
      </c>
      <c r="K123" t="str">
        <f>IF(ISBLANK(J123),"",SUM(J$2:J123))</f>
        <v/>
      </c>
      <c r="M123" t="str">
        <f>IF(ISBLANK(L123),"",SUM(L$2:L123))</f>
        <v/>
      </c>
      <c r="O123" t="str">
        <f>IF(ISBLANK(N123),"",SUM(N$2:N123))</f>
        <v/>
      </c>
      <c r="Q123" t="str">
        <f>IF(ISBLANK(P123),"",SUM(P$2:P123))</f>
        <v/>
      </c>
      <c r="S123" t="str">
        <f>IF(ISBLANK(R123),"",SUM(R$2:R123))</f>
        <v/>
      </c>
    </row>
    <row r="124" spans="5:19" x14ac:dyDescent="0.3">
      <c r="E124" t="str">
        <f>IF(ISBLANK(D124),"",SUM(D$2:D124))</f>
        <v/>
      </c>
      <c r="G124" t="str">
        <f>IF(ISBLANK(F124),"",SUM(F$2:F124))</f>
        <v/>
      </c>
      <c r="I124" t="str">
        <f>IF(ISBLANK(H124),"",SUM(H$2:H124))</f>
        <v/>
      </c>
      <c r="K124" t="str">
        <f>IF(ISBLANK(J124),"",SUM(J$2:J124))</f>
        <v/>
      </c>
      <c r="M124" t="str">
        <f>IF(ISBLANK(L124),"",SUM(L$2:L124))</f>
        <v/>
      </c>
      <c r="O124" t="str">
        <f>IF(ISBLANK(N124),"",SUM(N$2:N124))</f>
        <v/>
      </c>
      <c r="Q124" t="str">
        <f>IF(ISBLANK(P124),"",SUM(P$2:P124))</f>
        <v/>
      </c>
      <c r="S124" t="str">
        <f>IF(ISBLANK(R124),"",SUM(R$2:R124))</f>
        <v/>
      </c>
    </row>
    <row r="125" spans="5:19" x14ac:dyDescent="0.3">
      <c r="E125" t="str">
        <f>IF(ISBLANK(D125),"",SUM(D$2:D125))</f>
        <v/>
      </c>
      <c r="G125" t="str">
        <f>IF(ISBLANK(F125),"",SUM(F$2:F125))</f>
        <v/>
      </c>
      <c r="I125" t="str">
        <f>IF(ISBLANK(H125),"",SUM(H$2:H125))</f>
        <v/>
      </c>
      <c r="K125" t="str">
        <f>IF(ISBLANK(J125),"",SUM(J$2:J125))</f>
        <v/>
      </c>
      <c r="M125" t="str">
        <f>IF(ISBLANK(L125),"",SUM(L$2:L125))</f>
        <v/>
      </c>
      <c r="O125" t="str">
        <f>IF(ISBLANK(N125),"",SUM(N$2:N125))</f>
        <v/>
      </c>
      <c r="Q125" t="str">
        <f>IF(ISBLANK(P125),"",SUM(P$2:P125))</f>
        <v/>
      </c>
      <c r="S125" t="str">
        <f>IF(ISBLANK(R125),"",SUM(R$2:R125))</f>
        <v/>
      </c>
    </row>
    <row r="126" spans="5:19" x14ac:dyDescent="0.3">
      <c r="E126" t="str">
        <f>IF(ISBLANK(D126),"",SUM(D$2:D126))</f>
        <v/>
      </c>
      <c r="G126" t="str">
        <f>IF(ISBLANK(F126),"",SUM(F$2:F126))</f>
        <v/>
      </c>
      <c r="I126" t="str">
        <f>IF(ISBLANK(H126),"",SUM(H$2:H126))</f>
        <v/>
      </c>
      <c r="K126" t="str">
        <f>IF(ISBLANK(J126),"",SUM(J$2:J126))</f>
        <v/>
      </c>
      <c r="M126" t="str">
        <f>IF(ISBLANK(L126),"",SUM(L$2:L126))</f>
        <v/>
      </c>
      <c r="O126" t="str">
        <f>IF(ISBLANK(N126),"",SUM(N$2:N126))</f>
        <v/>
      </c>
      <c r="Q126" t="str">
        <f>IF(ISBLANK(P126),"",SUM(P$2:P126))</f>
        <v/>
      </c>
      <c r="S126" t="str">
        <f>IF(ISBLANK(R126),"",SUM(R$2:R126))</f>
        <v/>
      </c>
    </row>
    <row r="127" spans="5:19" x14ac:dyDescent="0.3">
      <c r="E127" t="str">
        <f>IF(ISBLANK(D127),"",SUM(D$2:D127))</f>
        <v/>
      </c>
      <c r="G127" t="str">
        <f>IF(ISBLANK(F127),"",SUM(F$2:F127))</f>
        <v/>
      </c>
      <c r="I127" t="str">
        <f>IF(ISBLANK(H127),"",SUM(H$2:H127))</f>
        <v/>
      </c>
      <c r="K127" t="str">
        <f>IF(ISBLANK(J127),"",SUM(J$2:J127))</f>
        <v/>
      </c>
      <c r="M127" t="str">
        <f>IF(ISBLANK(L127),"",SUM(L$2:L127))</f>
        <v/>
      </c>
      <c r="O127" t="str">
        <f>IF(ISBLANK(N127),"",SUM(N$2:N127))</f>
        <v/>
      </c>
      <c r="Q127" t="str">
        <f>IF(ISBLANK(P127),"",SUM(P$2:P127))</f>
        <v/>
      </c>
      <c r="S127" t="str">
        <f>IF(ISBLANK(R127),"",SUM(R$2:R127))</f>
        <v/>
      </c>
    </row>
    <row r="128" spans="5:19" x14ac:dyDescent="0.3">
      <c r="E128" t="str">
        <f>IF(ISBLANK(D128),"",SUM(D$2:D128))</f>
        <v/>
      </c>
      <c r="G128" t="str">
        <f>IF(ISBLANK(F128),"",SUM(F$2:F128))</f>
        <v/>
      </c>
      <c r="I128" t="str">
        <f>IF(ISBLANK(H128),"",SUM(H$2:H128))</f>
        <v/>
      </c>
      <c r="K128" t="str">
        <f>IF(ISBLANK(J128),"",SUM(J$2:J128))</f>
        <v/>
      </c>
      <c r="M128" t="str">
        <f>IF(ISBLANK(L128),"",SUM(L$2:L128))</f>
        <v/>
      </c>
      <c r="O128" t="str">
        <f>IF(ISBLANK(N128),"",SUM(N$2:N128))</f>
        <v/>
      </c>
      <c r="Q128" t="str">
        <f>IF(ISBLANK(P128),"",SUM(P$2:P128))</f>
        <v/>
      </c>
      <c r="S128" t="str">
        <f>IF(ISBLANK(R128),"",SUM(R$2:R128))</f>
        <v/>
      </c>
    </row>
    <row r="129" spans="5:19" x14ac:dyDescent="0.3">
      <c r="E129" t="str">
        <f>IF(ISBLANK(D129),"",SUM(D$2:D129))</f>
        <v/>
      </c>
      <c r="G129" t="str">
        <f>IF(ISBLANK(F129),"",SUM(F$2:F129))</f>
        <v/>
      </c>
      <c r="I129" t="str">
        <f>IF(ISBLANK(H129),"",SUM(H$2:H129))</f>
        <v/>
      </c>
      <c r="K129" t="str">
        <f>IF(ISBLANK(J129),"",SUM(J$2:J129))</f>
        <v/>
      </c>
      <c r="M129" t="str">
        <f>IF(ISBLANK(L129),"",SUM(L$2:L129))</f>
        <v/>
      </c>
      <c r="O129" t="str">
        <f>IF(ISBLANK(N129),"",SUM(N$2:N129))</f>
        <v/>
      </c>
      <c r="Q129" t="str">
        <f>IF(ISBLANK(P129),"",SUM(P$2:P129))</f>
        <v/>
      </c>
      <c r="S129" t="str">
        <f>IF(ISBLANK(R129),"",SUM(R$2:R129))</f>
        <v/>
      </c>
    </row>
    <row r="130" spans="5:19" x14ac:dyDescent="0.3">
      <c r="E130" t="str">
        <f>IF(ISBLANK(D130),"",SUM(D$2:D130))</f>
        <v/>
      </c>
      <c r="G130" t="str">
        <f>IF(ISBLANK(F130),"",SUM(F$2:F130))</f>
        <v/>
      </c>
      <c r="I130" t="str">
        <f>IF(ISBLANK(H130),"",SUM(H$2:H130))</f>
        <v/>
      </c>
      <c r="K130" t="str">
        <f>IF(ISBLANK(J130),"",SUM(J$2:J130))</f>
        <v/>
      </c>
      <c r="M130" t="str">
        <f>IF(ISBLANK(L130),"",SUM(L$2:L130))</f>
        <v/>
      </c>
      <c r="O130" t="str">
        <f>IF(ISBLANK(N130),"",SUM(N$2:N130))</f>
        <v/>
      </c>
      <c r="Q130" t="str">
        <f>IF(ISBLANK(P130),"",SUM(P$2:P130))</f>
        <v/>
      </c>
      <c r="S130" t="str">
        <f>IF(ISBLANK(R130),"",SUM(R$2:R130))</f>
        <v/>
      </c>
    </row>
    <row r="131" spans="5:19" x14ac:dyDescent="0.3">
      <c r="E131" t="str">
        <f>IF(ISBLANK(D131),"",SUM(D$2:D131))</f>
        <v/>
      </c>
      <c r="G131" t="str">
        <f>IF(ISBLANK(F131),"",SUM(F$2:F131))</f>
        <v/>
      </c>
      <c r="I131" t="str">
        <f>IF(ISBLANK(H131),"",SUM(H$2:H131))</f>
        <v/>
      </c>
      <c r="K131" t="str">
        <f>IF(ISBLANK(J131),"",SUM(J$2:J131))</f>
        <v/>
      </c>
      <c r="M131" t="str">
        <f>IF(ISBLANK(L131),"",SUM(L$2:L131))</f>
        <v/>
      </c>
      <c r="O131" t="str">
        <f>IF(ISBLANK(N131),"",SUM(N$2:N131))</f>
        <v/>
      </c>
      <c r="Q131" t="str">
        <f>IF(ISBLANK(P131),"",SUM(P$2:P131))</f>
        <v/>
      </c>
      <c r="S131" t="str">
        <f>IF(ISBLANK(R131),"",SUM(R$2:R131))</f>
        <v/>
      </c>
    </row>
    <row r="132" spans="5:19" x14ac:dyDescent="0.3">
      <c r="E132" t="str">
        <f>IF(ISBLANK(D132),"",SUM(D$2:D132))</f>
        <v/>
      </c>
      <c r="G132" t="str">
        <f>IF(ISBLANK(F132),"",SUM(F$2:F132))</f>
        <v/>
      </c>
      <c r="I132" t="str">
        <f>IF(ISBLANK(H132),"",SUM(H$2:H132))</f>
        <v/>
      </c>
      <c r="K132" t="str">
        <f>IF(ISBLANK(J132),"",SUM(J$2:J132))</f>
        <v/>
      </c>
      <c r="M132" t="str">
        <f>IF(ISBLANK(L132),"",SUM(L$2:L132))</f>
        <v/>
      </c>
      <c r="O132" t="str">
        <f>IF(ISBLANK(N132),"",SUM(N$2:N132))</f>
        <v/>
      </c>
      <c r="Q132" t="str">
        <f>IF(ISBLANK(P132),"",SUM(P$2:P132))</f>
        <v/>
      </c>
      <c r="S132" t="str">
        <f>IF(ISBLANK(R132),"",SUM(R$2:R132))</f>
        <v/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FF5A-8C7B-406E-8A81-471465EBD38F}">
  <dimension ref="A1:AK40"/>
  <sheetViews>
    <sheetView topLeftCell="C1" zoomScale="75" workbookViewId="0">
      <selection activeCell="V27" sqref="V27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>
        <f>VLOOKUP(A2,'Round 3'!$AI$3:$AK$18,2,0)</f>
        <v>61</v>
      </c>
      <c r="C2" s="1" t="str">
        <f>VLOOKUP(A2,'Round 3'!$AI$3:$AK$18,3,0)</f>
        <v>Martin Richards</v>
      </c>
      <c r="D2" s="1">
        <f>AB3</f>
        <v>3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>
        <f>IF(AND(D2=0,D4=0),"",IF(D2&gt;D4,A2,A4))</f>
        <v>1</v>
      </c>
      <c r="G3" s="1">
        <f>IF(AND(D2=0,D4=0),"",IF(D2&gt;D4,B2,B4))</f>
        <v>61</v>
      </c>
      <c r="H3" s="1" t="str">
        <f>IF(AND(D2=0,D4=0),"",IF(D2&gt;D4,C2,C4))</f>
        <v>Martin Richards</v>
      </c>
      <c r="I3" s="1">
        <f>AB27</f>
        <v>3</v>
      </c>
      <c r="J3" s="2"/>
      <c r="Y3" s="1">
        <f>A2</f>
        <v>1</v>
      </c>
      <c r="Z3" s="1">
        <f>B2</f>
        <v>61</v>
      </c>
      <c r="AA3" s="1" t="str">
        <f>C2</f>
        <v>Martin Richards</v>
      </c>
      <c r="AB3" s="4">
        <v>3</v>
      </c>
      <c r="AD3" s="1">
        <f>K5</f>
        <v>1</v>
      </c>
      <c r="AE3" s="1">
        <f t="shared" ref="AE3:AF3" si="0">L5</f>
        <v>61</v>
      </c>
      <c r="AF3" s="1" t="str">
        <f t="shared" si="0"/>
        <v>Martin Richards</v>
      </c>
      <c r="AG3" s="4">
        <v>3</v>
      </c>
    </row>
    <row r="4" spans="1:37" x14ac:dyDescent="0.3">
      <c r="A4" s="1">
        <v>16</v>
      </c>
      <c r="B4" s="1">
        <f>VLOOKUP(A4,'Round 3'!$AI$3:$AK$18,2,0)</f>
        <v>420</v>
      </c>
      <c r="C4" s="1" t="str">
        <f>VLOOKUP(A4,'Round 3'!$AI$3:$AK$18,3,0)</f>
        <v>Harry Love</v>
      </c>
      <c r="D4" s="1">
        <f>AB4</f>
        <v>0</v>
      </c>
      <c r="E4" s="2"/>
      <c r="J4" s="2"/>
      <c r="Y4" s="1">
        <f>A4</f>
        <v>16</v>
      </c>
      <c r="Z4" s="1">
        <f>B4</f>
        <v>420</v>
      </c>
      <c r="AA4" s="1" t="str">
        <f>C4</f>
        <v>Harry Love</v>
      </c>
      <c r="AB4" s="4"/>
      <c r="AD4" s="1">
        <f>K13</f>
        <v>13</v>
      </c>
      <c r="AE4" s="1">
        <f t="shared" ref="AE4:AF4" si="1">L13</f>
        <v>41</v>
      </c>
      <c r="AF4" s="1" t="str">
        <f t="shared" si="1"/>
        <v>Ian Phillips</v>
      </c>
      <c r="AG4" s="4"/>
    </row>
    <row r="5" spans="1:37" x14ac:dyDescent="0.3">
      <c r="J5" s="2"/>
      <c r="K5" s="1">
        <f>IF(AND(I3=0,I7=0),"",IF(I3&gt;I7,F3,F7))</f>
        <v>1</v>
      </c>
      <c r="L5" s="1">
        <f>IF(AND(I3=0,I7=0),"",IF(I3&gt;I7,G3,G7))</f>
        <v>61</v>
      </c>
      <c r="M5" s="1" t="str">
        <f>IF(AND(I3=0,I7=0),"",IF(I3&gt;I7,H3,H7))</f>
        <v>Martin Richards</v>
      </c>
      <c r="N5" s="1">
        <f>AG3</f>
        <v>3</v>
      </c>
      <c r="O5" s="2"/>
      <c r="AD5" t="s">
        <v>88</v>
      </c>
    </row>
    <row r="6" spans="1:37" x14ac:dyDescent="0.3">
      <c r="A6" s="1">
        <v>8</v>
      </c>
      <c r="B6" s="1">
        <f>VLOOKUP(A6,'Round 3'!$AI$3:$AK$18,2,0)</f>
        <v>26</v>
      </c>
      <c r="C6" s="1" t="str">
        <f>VLOOKUP(A6,'Round 3'!$AI$3:$AK$18,3,0)</f>
        <v>Haydn Cruickshank</v>
      </c>
      <c r="D6" s="1">
        <f>AB6</f>
        <v>0</v>
      </c>
      <c r="E6" s="2"/>
      <c r="J6" s="2"/>
      <c r="O6" s="2"/>
      <c r="Y6" s="1">
        <f>A6</f>
        <v>8</v>
      </c>
      <c r="Z6" s="1">
        <f>B6</f>
        <v>26</v>
      </c>
      <c r="AA6" s="1" t="str">
        <f>C6</f>
        <v>Haydn Cruickshank</v>
      </c>
      <c r="AB6" s="4"/>
      <c r="AD6" s="1">
        <f>K21</f>
        <v>2</v>
      </c>
      <c r="AE6" s="1">
        <f t="shared" ref="AE6:AF6" si="2">L21</f>
        <v>20</v>
      </c>
      <c r="AF6" s="1" t="str">
        <f t="shared" si="2"/>
        <v>Ryan Hughes</v>
      </c>
      <c r="AG6" s="4"/>
      <c r="AI6">
        <f>IF(F3=K5,F7,F3)</f>
        <v>9</v>
      </c>
      <c r="AJ6">
        <f>VLOOKUP(AI6,$A$2:$C$32,2,0)</f>
        <v>55</v>
      </c>
      <c r="AK6" t="str">
        <f>VLOOKUP(AI6,$A$2:$C$32,3,0)</f>
        <v>Oliver Evans</v>
      </c>
    </row>
    <row r="7" spans="1:37" x14ac:dyDescent="0.3">
      <c r="A7" s="3"/>
      <c r="E7" s="2"/>
      <c r="F7" s="1">
        <f>IF(AND(D6=0,D8=0),"",IF(D6&gt;D8,A6,A8))</f>
        <v>9</v>
      </c>
      <c r="G7" s="1">
        <f>IF(AND(D6=0,D8=0),"",IF(D6&gt;D8,B6,B8))</f>
        <v>55</v>
      </c>
      <c r="H7" s="1" t="str">
        <f>IF(AND(D6=0,D8=0),"",IF(D6&gt;D8,C6,C8))</f>
        <v>Oliver Evans</v>
      </c>
      <c r="I7" s="1">
        <f>AB28</f>
        <v>0</v>
      </c>
      <c r="J7" s="2"/>
      <c r="O7" s="2"/>
      <c r="Y7" s="1">
        <f>A8</f>
        <v>9</v>
      </c>
      <c r="Z7" s="1">
        <f>B8</f>
        <v>55</v>
      </c>
      <c r="AA7" s="1" t="str">
        <f>C8</f>
        <v>Oliver Evans</v>
      </c>
      <c r="AB7" s="4">
        <v>3</v>
      </c>
      <c r="AD7" s="1">
        <f>K29</f>
        <v>11</v>
      </c>
      <c r="AE7" s="1">
        <f t="shared" ref="AE7:AF7" si="3">L29</f>
        <v>86</v>
      </c>
      <c r="AF7" s="1" t="str">
        <f t="shared" si="3"/>
        <v>David Bastin</v>
      </c>
      <c r="AG7" s="4">
        <v>3</v>
      </c>
      <c r="AI7">
        <f>IF(F11=K13,F15,F11)</f>
        <v>12</v>
      </c>
      <c r="AJ7">
        <f t="shared" ref="AJ7:AJ18" si="4">VLOOKUP(AI7,$A$2:$C$32,2,0)</f>
        <v>56</v>
      </c>
      <c r="AK7" t="str">
        <f t="shared" ref="AK7:AK18" si="5">VLOOKUP(AI7,$A$2:$C$32,3,0)</f>
        <v>Jonathan Smith</v>
      </c>
    </row>
    <row r="8" spans="1:37" x14ac:dyDescent="0.3">
      <c r="A8" s="1">
        <v>9</v>
      </c>
      <c r="B8" s="1">
        <f>VLOOKUP(A8,'Round 3'!$AI$3:$AK$18,2,0)</f>
        <v>55</v>
      </c>
      <c r="C8" s="1" t="str">
        <f>VLOOKUP(A8,'Round 3'!$AI$3:$AK$18,3,0)</f>
        <v>Oliver Evans</v>
      </c>
      <c r="D8" s="1">
        <f>AB7</f>
        <v>3</v>
      </c>
      <c r="E8" s="2"/>
      <c r="O8" s="2"/>
      <c r="AD8" t="s">
        <v>91</v>
      </c>
      <c r="AI8">
        <f>IF(F19=K21,F23,F19)</f>
        <v>7</v>
      </c>
      <c r="AJ8">
        <f t="shared" si="4"/>
        <v>265</v>
      </c>
      <c r="AK8" t="str">
        <f t="shared" si="5"/>
        <v>Axel Hildebrand</v>
      </c>
    </row>
    <row r="9" spans="1:37" x14ac:dyDescent="0.3">
      <c r="O9" s="2"/>
      <c r="P9" s="1">
        <f>IF(AND(N5=0,N13=0),"",IF(N5&gt;N13,K5,K13))</f>
        <v>1</v>
      </c>
      <c r="Q9" s="1">
        <f>IF(AND(N5=0,N13=0),"",IF(N5&gt;N13,L5,L13))</f>
        <v>61</v>
      </c>
      <c r="R9" s="1" t="str">
        <f>IF(AND(N5=0,N13=0),"",IF(N5&gt;N13,M5,M13))</f>
        <v>Martin Richards</v>
      </c>
      <c r="S9" s="1">
        <f>AG12</f>
        <v>3</v>
      </c>
      <c r="T9" s="2"/>
      <c r="Y9" s="1">
        <f>A10</f>
        <v>4</v>
      </c>
      <c r="Z9" s="1">
        <f t="shared" ref="Z9:AA9" si="6">B10</f>
        <v>93</v>
      </c>
      <c r="AA9" s="1" t="str">
        <f t="shared" si="6"/>
        <v>Josh King</v>
      </c>
      <c r="AB9" s="4"/>
      <c r="AD9" s="1">
        <f>IF(K5=P9,K13,K5)</f>
        <v>13</v>
      </c>
      <c r="AE9" s="1">
        <f>IF(AND(N5=0,N13=0),"",IF(L5=Q9,L13,L5))</f>
        <v>41</v>
      </c>
      <c r="AF9" s="1" t="str">
        <f>IF(AND(N5=0,N13=0),"",IF(M5=R9,M13,M5))</f>
        <v>Ian Phillips</v>
      </c>
      <c r="AG9" s="4"/>
      <c r="AI9">
        <f>IF(F27=K29,F31,F27)</f>
        <v>3</v>
      </c>
      <c r="AJ9">
        <f t="shared" si="4"/>
        <v>128</v>
      </c>
      <c r="AK9" t="str">
        <f t="shared" si="5"/>
        <v>Lwi Edwards</v>
      </c>
    </row>
    <row r="10" spans="1:37" x14ac:dyDescent="0.3">
      <c r="A10" s="1">
        <v>4</v>
      </c>
      <c r="B10" s="1">
        <f>VLOOKUP(A10,'Round 3'!$AI$3:$AK$18,2,0)</f>
        <v>93</v>
      </c>
      <c r="C10" s="1" t="str">
        <f>VLOOKUP(A10,'Round 3'!$AI$3:$AK$18,3,0)</f>
        <v>Josh King</v>
      </c>
      <c r="D10" s="1">
        <f>AB9</f>
        <v>0</v>
      </c>
      <c r="E10" s="2"/>
      <c r="O10" s="2"/>
      <c r="T10" s="2"/>
      <c r="Y10" s="1">
        <f>A12</f>
        <v>13</v>
      </c>
      <c r="Z10" s="1">
        <f t="shared" ref="Z10:AA10" si="7">B12</f>
        <v>41</v>
      </c>
      <c r="AA10" s="1" t="str">
        <f t="shared" si="7"/>
        <v>Ian Phillips</v>
      </c>
      <c r="AB10" s="4">
        <v>3</v>
      </c>
      <c r="AD10" s="1">
        <f>IF(K21=P25,K29,K21)</f>
        <v>2</v>
      </c>
      <c r="AE10" s="1">
        <f>IF(AND(N21=0,N29=0),"",IF(L21=Q25,L29,L21))</f>
        <v>20</v>
      </c>
      <c r="AF10" s="1" t="str">
        <f>IF(AND(N21=0,N29=0),"",IF(M21=R25,M29,M21))</f>
        <v>Ryan Hughes</v>
      </c>
      <c r="AG10" s="4">
        <v>3</v>
      </c>
    </row>
    <row r="11" spans="1:37" x14ac:dyDescent="0.3">
      <c r="A11" s="3"/>
      <c r="E11" s="2"/>
      <c r="F11" s="1">
        <f>IF(AND(D10=0,D12=0),"",IF(D10&gt;D12,A10,A12))</f>
        <v>13</v>
      </c>
      <c r="G11" s="1">
        <f>IF(AND(D10=0,D12=0),"",IF(D10&gt;D12,B10,B12))</f>
        <v>41</v>
      </c>
      <c r="H11" s="1" t="str">
        <f>IF(AND(D10=0,D12=0),"",IF(D10&gt;D12,C10,C12))</f>
        <v>Ian Phillips</v>
      </c>
      <c r="I11" s="1">
        <f>AB30</f>
        <v>3</v>
      </c>
      <c r="J11" s="2"/>
      <c r="O11" s="2"/>
      <c r="T11" s="2"/>
      <c r="AD11" t="s">
        <v>89</v>
      </c>
      <c r="AI11">
        <f>IF(A2=F3,A4,A2)</f>
        <v>16</v>
      </c>
      <c r="AJ11">
        <f t="shared" si="4"/>
        <v>420</v>
      </c>
      <c r="AK11" t="str">
        <f t="shared" si="5"/>
        <v>Harry Love</v>
      </c>
    </row>
    <row r="12" spans="1:37" x14ac:dyDescent="0.3">
      <c r="A12" s="1">
        <v>13</v>
      </c>
      <c r="B12" s="1">
        <f>VLOOKUP(A12,'Round 3'!$AI$3:$AK$18,2,0)</f>
        <v>41</v>
      </c>
      <c r="C12" s="1" t="str">
        <f>VLOOKUP(A12,'Round 3'!$AI$3:$AK$18,3,0)</f>
        <v>Ian Phillips</v>
      </c>
      <c r="D12" s="1">
        <f>AB10</f>
        <v>3</v>
      </c>
      <c r="E12" s="2"/>
      <c r="J12" s="2"/>
      <c r="O12" s="2"/>
      <c r="T12" s="2"/>
      <c r="Y12" s="1">
        <f>A14</f>
        <v>5</v>
      </c>
      <c r="Z12" s="1">
        <f t="shared" ref="Z12:AA12" si="8">B14</f>
        <v>94</v>
      </c>
      <c r="AA12" s="1" t="str">
        <f t="shared" si="8"/>
        <v>Paul Cunnington</v>
      </c>
      <c r="AB12" s="4"/>
      <c r="AD12" s="1">
        <f>P9</f>
        <v>1</v>
      </c>
      <c r="AE12" s="1">
        <f>Q9</f>
        <v>61</v>
      </c>
      <c r="AF12" s="1" t="str">
        <f>R9</f>
        <v>Martin Richards</v>
      </c>
      <c r="AG12" s="4">
        <v>3</v>
      </c>
      <c r="AI12">
        <f>IF(A6=F7,A8,A6)</f>
        <v>8</v>
      </c>
      <c r="AJ12">
        <f t="shared" si="4"/>
        <v>26</v>
      </c>
      <c r="AK12" t="str">
        <f t="shared" si="5"/>
        <v>Haydn Cruickshank</v>
      </c>
    </row>
    <row r="13" spans="1:37" x14ac:dyDescent="0.3">
      <c r="J13" s="2"/>
      <c r="K13" s="1">
        <f>IF(AND(I11=0,I15=0),"",IF(I11&gt;I15,F11,F15))</f>
        <v>13</v>
      </c>
      <c r="L13" s="1">
        <f>IF(AND(I11=0,I15=0),"",IF(I11&gt;I15,G11,G15))</f>
        <v>41</v>
      </c>
      <c r="M13" s="1" t="str">
        <f>IF(AND(I11=0,I15=0),"",IF(I11&gt;I15,H11,H15))</f>
        <v>Ian Phillips</v>
      </c>
      <c r="N13" s="1">
        <f>AG4</f>
        <v>0</v>
      </c>
      <c r="O13" s="2"/>
      <c r="T13" s="2"/>
      <c r="Y13" s="1">
        <f>A16</f>
        <v>12</v>
      </c>
      <c r="Z13" s="1">
        <f t="shared" ref="Z13:AA13" si="9">B16</f>
        <v>56</v>
      </c>
      <c r="AA13" s="1" t="str">
        <f t="shared" si="9"/>
        <v>Jonathan Smith</v>
      </c>
      <c r="AB13" s="4">
        <v>3</v>
      </c>
      <c r="AD13" s="1">
        <f>P25</f>
        <v>11</v>
      </c>
      <c r="AE13" s="1">
        <f>Q25</f>
        <v>86</v>
      </c>
      <c r="AF13" s="1" t="str">
        <f>R25</f>
        <v>David Bastin</v>
      </c>
      <c r="AG13" s="4"/>
      <c r="AI13">
        <f>IF(A10=F11,A12,A10)</f>
        <v>4</v>
      </c>
      <c r="AJ13">
        <f t="shared" si="4"/>
        <v>93</v>
      </c>
      <c r="AK13" t="str">
        <f t="shared" si="5"/>
        <v>Josh King</v>
      </c>
    </row>
    <row r="14" spans="1:37" x14ac:dyDescent="0.3">
      <c r="A14" s="1">
        <v>5</v>
      </c>
      <c r="B14" s="1">
        <f>VLOOKUP(A14,'Round 3'!$AI$3:$AK$18,2,0)</f>
        <v>94</v>
      </c>
      <c r="C14" s="1" t="str">
        <f>VLOOKUP(A14,'Round 3'!$AI$3:$AK$18,3,0)</f>
        <v>Paul Cunnington</v>
      </c>
      <c r="D14" s="1">
        <f>AB12</f>
        <v>0</v>
      </c>
      <c r="E14" s="2"/>
      <c r="J14" s="2"/>
      <c r="T14" s="2"/>
      <c r="AI14">
        <f>IF(A14=F15,A16,A14)</f>
        <v>5</v>
      </c>
      <c r="AJ14">
        <f t="shared" si="4"/>
        <v>94</v>
      </c>
      <c r="AK14" t="str">
        <f t="shared" si="5"/>
        <v>Paul Cunnington</v>
      </c>
    </row>
    <row r="15" spans="1:37" x14ac:dyDescent="0.3">
      <c r="A15" s="3"/>
      <c r="E15" s="2"/>
      <c r="F15" s="1">
        <f>IF(AND(D14=0,D16=0),"",IF(D14&gt;D16,A14,A16))</f>
        <v>12</v>
      </c>
      <c r="G15" s="1">
        <f>IF(AND(D14=0,D16=0),"",IF(D14&gt;D16,B14,B16))</f>
        <v>56</v>
      </c>
      <c r="H15" s="1" t="str">
        <f>IF(AND(D14=0,D16=0),"",IF(D14&gt;D16,C14,C16))</f>
        <v>Jonathan Smith</v>
      </c>
      <c r="I15" s="1">
        <f>AB31</f>
        <v>0</v>
      </c>
      <c r="J15" s="2"/>
      <c r="T15" s="2"/>
      <c r="Y15" s="1">
        <f>A18</f>
        <v>2</v>
      </c>
      <c r="Z15" s="1">
        <f t="shared" ref="Z15:AA15" si="10">B18</f>
        <v>20</v>
      </c>
      <c r="AA15" s="1" t="str">
        <f t="shared" si="10"/>
        <v>Ryan Hughes</v>
      </c>
      <c r="AB15" s="4">
        <v>3</v>
      </c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15</v>
      </c>
      <c r="AJ15">
        <f t="shared" si="4"/>
        <v>66</v>
      </c>
      <c r="AK15" t="str">
        <f t="shared" si="5"/>
        <v>Andy Frost</v>
      </c>
    </row>
    <row r="16" spans="1:37" x14ac:dyDescent="0.3">
      <c r="A16" s="1">
        <v>12</v>
      </c>
      <c r="B16" s="1">
        <f>VLOOKUP(A16,'Round 3'!$AI$3:$AK$18,2,0)</f>
        <v>56</v>
      </c>
      <c r="C16" s="1" t="str">
        <f>VLOOKUP(A16,'Round 3'!$AI$3:$AK$18,3,0)</f>
        <v>Jonathan Smith</v>
      </c>
      <c r="D16" s="1">
        <f>AB13</f>
        <v>3</v>
      </c>
      <c r="E16" s="2"/>
      <c r="T16" s="2"/>
      <c r="Y16" s="1">
        <f>A20</f>
        <v>15</v>
      </c>
      <c r="Z16" s="1">
        <f t="shared" ref="Z16:AA16" si="11">B20</f>
        <v>66</v>
      </c>
      <c r="AA16" s="1" t="str">
        <f t="shared" si="11"/>
        <v>Andy Frost</v>
      </c>
      <c r="AB16" s="4"/>
      <c r="AD16">
        <v>1</v>
      </c>
      <c r="AE16">
        <f>V17</f>
        <v>61</v>
      </c>
      <c r="AF16" t="str">
        <f>W17</f>
        <v>Martin Richards</v>
      </c>
      <c r="AG16">
        <v>50</v>
      </c>
      <c r="AI16">
        <f>IF(A22=F23,A24,A22)</f>
        <v>10</v>
      </c>
      <c r="AJ16">
        <f t="shared" si="4"/>
        <v>157</v>
      </c>
      <c r="AK16" t="str">
        <f t="shared" si="5"/>
        <v>George Barclay</v>
      </c>
    </row>
    <row r="17" spans="1:37" x14ac:dyDescent="0.3">
      <c r="T17" s="2"/>
      <c r="U17" s="5">
        <f>IF(AND(S9=0,S25=0),"",IF(S9&gt;S25,P9,P25))</f>
        <v>1</v>
      </c>
      <c r="V17" s="5">
        <f>IF(AND(S9=0,S25=0),"",IF(S9&gt;S25,Q9,Q25))</f>
        <v>61</v>
      </c>
      <c r="W17" s="5" t="str">
        <f>IF(AND(S9=0,S25=0),"",IF(S9&gt;S25,R9,R25))</f>
        <v>Martin Richards</v>
      </c>
      <c r="AD17">
        <v>2</v>
      </c>
      <c r="AE17">
        <f>IF(V17="","",IF(Q9=V17,Q25,Q9))</f>
        <v>86</v>
      </c>
      <c r="AF17" t="str">
        <f>IF(W17="","",IF(R9=W17,R25,R9))</f>
        <v>David Bastin</v>
      </c>
      <c r="AG17">
        <v>40</v>
      </c>
      <c r="AI17">
        <f>IF(A26=F27,A28,A26)</f>
        <v>14</v>
      </c>
      <c r="AJ17">
        <f t="shared" si="4"/>
        <v>206</v>
      </c>
      <c r="AK17" t="str">
        <f t="shared" si="5"/>
        <v>Matthew Roberts</v>
      </c>
    </row>
    <row r="18" spans="1:37" x14ac:dyDescent="0.3">
      <c r="A18" s="1">
        <v>2</v>
      </c>
      <c r="B18" s="1">
        <f>VLOOKUP(A18,'Round 3'!$AI$3:$AK$18,2,0)</f>
        <v>20</v>
      </c>
      <c r="C18" s="1" t="str">
        <f>VLOOKUP(A18,'Round 3'!$AI$3:$AK$18,3,0)</f>
        <v>Ryan Hughes</v>
      </c>
      <c r="D18" s="1">
        <f>AB15</f>
        <v>3</v>
      </c>
      <c r="E18" s="2"/>
      <c r="T18" s="2"/>
      <c r="Y18" s="1">
        <f>A22</f>
        <v>7</v>
      </c>
      <c r="Z18" s="1">
        <f t="shared" ref="Z18:AA18" si="12">B22</f>
        <v>265</v>
      </c>
      <c r="AA18" s="1" t="str">
        <f t="shared" si="12"/>
        <v>Axel Hildebrand</v>
      </c>
      <c r="AB18" s="4">
        <v>3</v>
      </c>
      <c r="AD18">
        <v>3</v>
      </c>
      <c r="AE18">
        <f>IF(AG9&gt;AG10,AE9,IF(AG10&gt;AG9,AE10,IF(AD9&lt;AD10,AE9,AE10)))</f>
        <v>20</v>
      </c>
      <c r="AF18" t="str">
        <f>IF(AG9&gt;AG10,AF9,IF(AG10&gt;AG9,AF10,IF(AD9&lt;AD10,AF9,AF10)))</f>
        <v>Ryan Hughes</v>
      </c>
      <c r="AG18">
        <v>30</v>
      </c>
      <c r="AI18">
        <f>IF(A30=F31,A32,A30)</f>
        <v>6</v>
      </c>
      <c r="AJ18">
        <f t="shared" si="4"/>
        <v>112</v>
      </c>
      <c r="AK18" t="str">
        <f t="shared" si="5"/>
        <v>Nathan Chivers</v>
      </c>
    </row>
    <row r="19" spans="1:37" x14ac:dyDescent="0.3">
      <c r="A19" s="3"/>
      <c r="E19" s="2"/>
      <c r="F19" s="1">
        <f>IF(AND(D18=0,D20=0),"",IF(D18&gt;D20,A18,A20))</f>
        <v>2</v>
      </c>
      <c r="G19" s="1">
        <f>IF(AND(D18=0,D20=0),"",IF(D18&gt;D20,B18,B20))</f>
        <v>20</v>
      </c>
      <c r="H19" s="1" t="str">
        <f>IF(AND(D18=0,D20=0),"",IF(D18&gt;D20,C18,C20))</f>
        <v>Ryan Hughes</v>
      </c>
      <c r="I19" s="1">
        <f>AB33</f>
        <v>3</v>
      </c>
      <c r="J19" s="2"/>
      <c r="T19" s="2"/>
      <c r="Y19" s="1">
        <f>A24</f>
        <v>10</v>
      </c>
      <c r="Z19" s="1">
        <f t="shared" ref="Z19:AA19" si="13">B24</f>
        <v>157</v>
      </c>
      <c r="AA19" s="1" t="str">
        <f t="shared" si="13"/>
        <v>George Barclay</v>
      </c>
      <c r="AB19" s="4"/>
      <c r="AD19">
        <v>4</v>
      </c>
      <c r="AE19">
        <f>IF(AG9&gt;AG10,AE10,IF(AG10&gt;AG9,AE9,IF(AD9&lt;AD10,AE10,AE9)))</f>
        <v>41</v>
      </c>
      <c r="AF19" t="str">
        <f>IF(AG9&gt;AG10,AF10,IF(AG10&gt;AG9,AF9,IF(AD9&lt;AD10,AF10,AF9)))</f>
        <v>Ian Phillips</v>
      </c>
      <c r="AG19">
        <v>25</v>
      </c>
    </row>
    <row r="20" spans="1:37" x14ac:dyDescent="0.3">
      <c r="A20" s="1">
        <v>15</v>
      </c>
      <c r="B20" s="1">
        <f>VLOOKUP(A20,'Round 3'!$AI$3:$AK$18,2,0)</f>
        <v>66</v>
      </c>
      <c r="C20" s="1" t="str">
        <f>VLOOKUP(A20,'Round 3'!$AI$3:$AK$18,3,0)</f>
        <v>Andy Frost</v>
      </c>
      <c r="D20" s="1">
        <f>AB16</f>
        <v>0</v>
      </c>
      <c r="E20" s="2"/>
      <c r="J20" s="2"/>
      <c r="T20" s="2"/>
      <c r="AD20">
        <v>5</v>
      </c>
      <c r="AE20">
        <f>IF(OR($L$5="",$L$13="",$L$21="",$L$29=""),"",VLOOKUP(SMALL($AI$6:$AI$9,1),$AI$6:$AK$9,2,0))</f>
        <v>128</v>
      </c>
      <c r="AF20" t="str">
        <f>IF(OR($L$5="",$L$13="",$L$21="",$L$29=""),"",VLOOKUP(SMALL($AI$6:$AI$9,1),$AI$6:$AK$9,3,0))</f>
        <v>Lwi Edwards</v>
      </c>
      <c r="AG20">
        <v>20</v>
      </c>
    </row>
    <row r="21" spans="1:37" x14ac:dyDescent="0.3">
      <c r="J21" s="2"/>
      <c r="K21" s="1">
        <f>IF(AND(I19=0,I23=0),"",IF(I19&gt;I23,F19,F23))</f>
        <v>2</v>
      </c>
      <c r="L21" s="1">
        <f>IF(AND(I19=0,I23=0),"",IF(I19&gt;I23,G19,G23))</f>
        <v>20</v>
      </c>
      <c r="M21" s="1" t="str">
        <f>IF(AND(I19=0,I23=0),"",IF(I19&gt;I23,H19,H23))</f>
        <v>Ryan Hughes</v>
      </c>
      <c r="N21" s="1">
        <f>AG6</f>
        <v>0</v>
      </c>
      <c r="O21" s="2"/>
      <c r="T21" s="2"/>
      <c r="Y21" s="1">
        <f>A26</f>
        <v>3</v>
      </c>
      <c r="Z21" s="1">
        <f t="shared" ref="Z21:AA21" si="14">B26</f>
        <v>128</v>
      </c>
      <c r="AA21" s="1" t="str">
        <f t="shared" si="14"/>
        <v>Lwi Edwards</v>
      </c>
      <c r="AB21" s="4">
        <v>3</v>
      </c>
      <c r="AD21">
        <v>6</v>
      </c>
      <c r="AE21">
        <f>IF(OR($L$5="",$L$13="",$L$21="",$L$29=""),"",VLOOKUP(SMALL($AI$6:$AI$9,2),$AI$6:$AK$9,2,0))</f>
        <v>265</v>
      </c>
      <c r="AF21" t="str">
        <f>IF(OR($L$5="",$L$13="",$L$21="",$L$29=""),"",VLOOKUP(SMALL($AI$6:$AI$9,2),$AI$6:$AK$9,3,0))</f>
        <v>Axel Hildebrand</v>
      </c>
      <c r="AG21">
        <v>20</v>
      </c>
    </row>
    <row r="22" spans="1:37" x14ac:dyDescent="0.3">
      <c r="A22" s="1">
        <v>7</v>
      </c>
      <c r="B22" s="1">
        <f>VLOOKUP(A22,'Round 3'!$AI$3:$AK$18,2,0)</f>
        <v>265</v>
      </c>
      <c r="C22" s="1" t="str">
        <f>VLOOKUP(A22,'Round 3'!$AI$3:$AK$18,3,0)</f>
        <v>Axel Hildebrand</v>
      </c>
      <c r="D22" s="1">
        <f>AB18</f>
        <v>3</v>
      </c>
      <c r="E22" s="2"/>
      <c r="J22" s="2"/>
      <c r="O22" s="2"/>
      <c r="T22" s="2"/>
      <c r="Y22" s="1">
        <f>A28</f>
        <v>14</v>
      </c>
      <c r="Z22" s="1">
        <f t="shared" ref="Z22:AA22" si="15">B28</f>
        <v>206</v>
      </c>
      <c r="AA22" s="1" t="str">
        <f t="shared" si="15"/>
        <v>Matthew Roberts</v>
      </c>
      <c r="AB22" s="4"/>
      <c r="AD22">
        <v>7</v>
      </c>
      <c r="AE22">
        <f>IF(OR($L$5="",$L$13="",$L$21="",$L$29=""),"",VLOOKUP(SMALL($AI$6:$AI$9,3),$AI$6:$AK$9,2,0))</f>
        <v>55</v>
      </c>
      <c r="AF22" t="str">
        <f>IF(OR($L$5="",$L$13="",$L$21="",$L$29=""),"",VLOOKUP(SMALL($AI$6:$AI$9,3),$AI$6:$AK$9,3,0))</f>
        <v>Oliver Evans</v>
      </c>
      <c r="AG22">
        <v>20</v>
      </c>
    </row>
    <row r="23" spans="1:37" x14ac:dyDescent="0.3">
      <c r="A23" s="3"/>
      <c r="E23" s="2"/>
      <c r="F23" s="1">
        <f>IF(AND(D22=0,D24=0),"",IF(D22&gt;D24,A22,A24))</f>
        <v>7</v>
      </c>
      <c r="G23" s="1">
        <f>IF(AND(D22=0,D24=0),"",IF(D22&gt;D24,B22,B24))</f>
        <v>265</v>
      </c>
      <c r="H23" s="1" t="str">
        <f>IF(AND(D22=0,D24=0),"",IF(D22&gt;D24,C22,C24))</f>
        <v>Axel Hildebrand</v>
      </c>
      <c r="I23" s="1">
        <f>AB34</f>
        <v>0</v>
      </c>
      <c r="J23" s="2"/>
      <c r="O23" s="2"/>
      <c r="T23" s="2"/>
      <c r="AD23">
        <v>8</v>
      </c>
      <c r="AE23">
        <f>IF(OR($L$5="",$L$13="",$L$21="",$L$29=""),"",VLOOKUP(SMALL($AI$6:$AI$9,4),$AI$6:$AK$9,2,0))</f>
        <v>56</v>
      </c>
      <c r="AF23" t="str">
        <f>IF(OR($L$5="",$L$13="",$L$21="",$L$29=""),"",VLOOKUP(SMALL($AI$6:$AI$9,4),$AI$6:$AK$9,3,0))</f>
        <v>Jonathan Smith</v>
      </c>
      <c r="AG23">
        <v>20</v>
      </c>
    </row>
    <row r="24" spans="1:37" x14ac:dyDescent="0.3">
      <c r="A24" s="1">
        <v>10</v>
      </c>
      <c r="B24" s="1">
        <f>VLOOKUP(A24,'Round 3'!$AI$3:$AK$18,2,0)</f>
        <v>157</v>
      </c>
      <c r="C24" s="1" t="str">
        <f>VLOOKUP(A24,'Round 3'!$AI$3:$AK$18,3,0)</f>
        <v>George Barclay</v>
      </c>
      <c r="D24" s="1">
        <f>AB19</f>
        <v>0</v>
      </c>
      <c r="E24" s="2"/>
      <c r="O24" s="2"/>
      <c r="T24" s="2"/>
      <c r="Y24" s="1">
        <f>A30</f>
        <v>6</v>
      </c>
      <c r="Z24" s="1">
        <f t="shared" ref="Z24:AA24" si="16">B30</f>
        <v>112</v>
      </c>
      <c r="AA24" s="1" t="str">
        <f t="shared" si="16"/>
        <v>Nathan Chivers</v>
      </c>
      <c r="AB24" s="4"/>
      <c r="AD24">
        <v>9</v>
      </c>
      <c r="AE24">
        <f>IF(OR($G$3="",$G$7="",$G$11="",$G$15="",$G$19="",$G$23="",$G$27="",$G$31=""),"",VLOOKUP(SMALL($AI$11:$AI$18,1),$AI$11:$AK$18,2,0))</f>
        <v>93</v>
      </c>
      <c r="AF24" t="str">
        <f>IF(OR($G$3="",$G$7="",$G$11="",$G$15="",$G$19="",$G$23="",$G$27="",$G$31=""),"",VLOOKUP(SMALL($AI$11:$AI$18,1),$AI$11:$AK$18,3,0))</f>
        <v>Josh King</v>
      </c>
      <c r="AG24">
        <v>10</v>
      </c>
    </row>
    <row r="25" spans="1:37" x14ac:dyDescent="0.3">
      <c r="O25" s="2"/>
      <c r="P25" s="1">
        <f>IF(AND(N21=0,N29=0),"",IF(N21&gt;N29,K21,K29))</f>
        <v>11</v>
      </c>
      <c r="Q25" s="1">
        <f>IF(AND(N21=0,N29=0),"",IF(N21&gt;N29,L21,L29))</f>
        <v>86</v>
      </c>
      <c r="R25" s="1" t="str">
        <f>IF(AND(N21=0,N29=0),"",IF(N21&gt;N29,M21,M29))</f>
        <v>David Bastin</v>
      </c>
      <c r="S25" s="1">
        <f>AG13</f>
        <v>0</v>
      </c>
      <c r="T25" s="2"/>
      <c r="Y25" s="1">
        <f>A32</f>
        <v>11</v>
      </c>
      <c r="Z25" s="1">
        <f t="shared" ref="Z25:AA25" si="17">B32</f>
        <v>86</v>
      </c>
      <c r="AA25" s="1" t="str">
        <f t="shared" si="17"/>
        <v>David Bastin</v>
      </c>
      <c r="AB25" s="4">
        <v>3</v>
      </c>
      <c r="AD25">
        <v>10</v>
      </c>
      <c r="AE25">
        <f>IF(OR($G$3="",$G$7="",$G$11="",$G$15="",$G$19="",$G$23="",$G$27="",$G$31=""),"",VLOOKUP(SMALL($AI$11:$AI$18,2),$AI$11:$AK$18,2,0))</f>
        <v>94</v>
      </c>
      <c r="AF25" t="str">
        <f>IF(OR($G$3="",$G$7="",$G$11="",$G$15="",$G$19="",$G$23="",$G$27="",$G$31=""),"",VLOOKUP(SMALL($AI$11:$AI$18,2),$AI$11:$AK$18,3,0))</f>
        <v>Paul Cunnington</v>
      </c>
      <c r="AG25">
        <v>10</v>
      </c>
    </row>
    <row r="26" spans="1:37" x14ac:dyDescent="0.3">
      <c r="A26" s="1">
        <v>3</v>
      </c>
      <c r="B26" s="1">
        <f>VLOOKUP(A26,'Round 3'!$AI$3:$AK$18,2,0)</f>
        <v>128</v>
      </c>
      <c r="C26" s="1" t="str">
        <f>VLOOKUP(A26,'Round 3'!$AI$3:$AK$18,3,0)</f>
        <v>Lwi Edwards</v>
      </c>
      <c r="D26" s="1">
        <f>AB21</f>
        <v>3</v>
      </c>
      <c r="E26" s="2"/>
      <c r="O26" s="2"/>
      <c r="Y26" s="2"/>
      <c r="Z26" s="2"/>
      <c r="AA26" s="2"/>
      <c r="AB26" s="2"/>
      <c r="AD26">
        <v>11</v>
      </c>
      <c r="AE26">
        <f>IF(OR($G$3="",$G$7="",$G$11="",$G$15="",$G$19="",$G$23="",$G$27="",$G$31=""),"",VLOOKUP(SMALL($AI$11:$AI$18,3),$AI$11:$AK$18,2,0))</f>
        <v>112</v>
      </c>
      <c r="AF26" t="str">
        <f>IF(OR($G$3="",$G$7="",$G$11="",$G$15="",$G$19="",$G$23="",$G$27="",$G$31=""),"",VLOOKUP(SMALL($AI$11:$AI$18,3),$AI$11:$AK$18,3,0))</f>
        <v>Nathan Chivers</v>
      </c>
      <c r="AG26">
        <v>10</v>
      </c>
    </row>
    <row r="27" spans="1:37" x14ac:dyDescent="0.3">
      <c r="A27" s="3"/>
      <c r="E27" s="2"/>
      <c r="F27" s="1">
        <f>IF(AND(D26=0,D28=0),"",IF(D26&gt;D28,A26,A28))</f>
        <v>3</v>
      </c>
      <c r="G27" s="1">
        <f>IF(AND(D26=0,D28=0),"",IF(D26&gt;D28,B26,B28))</f>
        <v>128</v>
      </c>
      <c r="H27" s="1" t="str">
        <f>IF(AND(D26=0,D28=0),"",IF(D26&gt;D28,C26,C28))</f>
        <v>Lwi Edwards</v>
      </c>
      <c r="I27" s="1">
        <f>AB36</f>
        <v>0</v>
      </c>
      <c r="J27" s="2"/>
      <c r="O27" s="2"/>
      <c r="Y27" s="1">
        <f>F3</f>
        <v>1</v>
      </c>
      <c r="Z27" s="1">
        <f t="shared" ref="Z27:AA27" si="18">G3</f>
        <v>61</v>
      </c>
      <c r="AA27" s="1" t="str">
        <f t="shared" si="18"/>
        <v>Martin Richards</v>
      </c>
      <c r="AB27" s="4">
        <v>3</v>
      </c>
      <c r="AD27">
        <v>12</v>
      </c>
      <c r="AE27">
        <f>IF(OR($G$3="",$G$7="",$G$11="",$G$15="",$G$19="",$G$23="",$G$27="",$G$31=""),"",VLOOKUP(SMALL($AI$11:$AI$18,4),$AI$11:$AK$18,2,0))</f>
        <v>26</v>
      </c>
      <c r="AF27" t="str">
        <f>IF(OR($G$3="",$G$7="",$G$11="",$G$15="",$G$19="",$G$23="",$G$27="",$G$31=""),"",VLOOKUP(SMALL($AI$11:$AI$18,4),$AI$11:$AK$18,3,0))</f>
        <v>Haydn Cruickshank</v>
      </c>
      <c r="AG27">
        <v>10</v>
      </c>
    </row>
    <row r="28" spans="1:37" x14ac:dyDescent="0.3">
      <c r="A28" s="1">
        <v>14</v>
      </c>
      <c r="B28" s="1">
        <f>VLOOKUP(A28,'Round 3'!$AI$3:$AK$18,2,0)</f>
        <v>206</v>
      </c>
      <c r="C28" s="1" t="str">
        <f>VLOOKUP(A28,'Round 3'!$AI$3:$AK$18,3,0)</f>
        <v>Matthew Roberts</v>
      </c>
      <c r="D28" s="1">
        <f>AB22</f>
        <v>0</v>
      </c>
      <c r="E28" s="2"/>
      <c r="J28" s="2"/>
      <c r="O28" s="2"/>
      <c r="Y28" s="1">
        <f>F7</f>
        <v>9</v>
      </c>
      <c r="Z28" s="1">
        <f t="shared" ref="Z28:AA28" si="19">G7</f>
        <v>55</v>
      </c>
      <c r="AA28" s="1" t="str">
        <f t="shared" si="19"/>
        <v>Oliver Evans</v>
      </c>
      <c r="AB28" s="4"/>
      <c r="AD28">
        <v>13</v>
      </c>
      <c r="AE28">
        <f>IF(OR($G$3="",$G$7="",$G$11="",$G$15="",$G$19="",$G$23="",$G$27="",$G$31=""),"",VLOOKUP(SMALL($AI$11:$AI$18,5),$AI$11:$AK$18,2,0))</f>
        <v>157</v>
      </c>
      <c r="AF28" t="str">
        <f>IF(OR($G$3="",$G$7="",$G$11="",$G$15="",$G$19="",$G$23="",$G$27="",$G$31=""),"",VLOOKUP(SMALL($AI$11:$AI$18,5),$AI$11:$AK$18,3,0))</f>
        <v>George Barclay</v>
      </c>
      <c r="AG28">
        <v>10</v>
      </c>
    </row>
    <row r="29" spans="1:37" x14ac:dyDescent="0.3">
      <c r="J29" s="2"/>
      <c r="K29" s="1">
        <f>IF(AND(I27=0,I31=0),"",IF(I27&gt;I31,F27,F31))</f>
        <v>11</v>
      </c>
      <c r="L29" s="1">
        <f>IF(AND(I27=0,I31=0),"",IF(I27&gt;I31,G27,G31))</f>
        <v>86</v>
      </c>
      <c r="M29" s="1" t="str">
        <f>IF(AND(I27=0,I31=0),"",IF(I27&gt;I31,H27,H31))</f>
        <v>David Bastin</v>
      </c>
      <c r="N29" s="1">
        <f>AG7</f>
        <v>3</v>
      </c>
      <c r="O29" s="2"/>
      <c r="AD29">
        <v>14</v>
      </c>
      <c r="AE29">
        <f>IF(OR($G$3="",$G$7="",$G$11="",$G$15="",$G$19="",$G$23="",$G$27="",$G$31=""),"",VLOOKUP(SMALL($AI$11:$AI$18,6),$AI$11:$AK$18,2,0))</f>
        <v>206</v>
      </c>
      <c r="AF29" t="str">
        <f>IF(OR($G$3="",$G$7="",$G$11="",$G$15="",$G$19="",$G$23="",$G$27="",$G$31=""),"",VLOOKUP(SMALL($AI$11:$AI$18,6),$AI$11:$AK$18,3,0))</f>
        <v>Matthew Roberts</v>
      </c>
      <c r="AG29">
        <v>10</v>
      </c>
    </row>
    <row r="30" spans="1:37" x14ac:dyDescent="0.3">
      <c r="A30" s="1">
        <v>6</v>
      </c>
      <c r="B30" s="1">
        <f>VLOOKUP(A30,'Round 3'!$AI$3:$AK$18,2,0)</f>
        <v>112</v>
      </c>
      <c r="C30" s="1" t="str">
        <f>VLOOKUP(A30,'Round 3'!$AI$3:$AK$18,3,0)</f>
        <v>Nathan Chivers</v>
      </c>
      <c r="D30" s="1">
        <f>AB24</f>
        <v>0</v>
      </c>
      <c r="E30" s="2"/>
      <c r="J30" s="2"/>
      <c r="Y30" s="1">
        <f>F11</f>
        <v>13</v>
      </c>
      <c r="Z30" s="1">
        <f t="shared" ref="Z30:AA30" si="20">G11</f>
        <v>41</v>
      </c>
      <c r="AA30" s="1" t="str">
        <f t="shared" si="20"/>
        <v>Ian Phillips</v>
      </c>
      <c r="AB30" s="4">
        <v>3</v>
      </c>
      <c r="AD30">
        <v>15</v>
      </c>
      <c r="AE30">
        <f>IF(OR($G$3="",$G$7="",$G$11="",$G$15="",$G$19="",$G$23="",$G$27="",$G$31=""),"",VLOOKUP(SMALL($AI$11:$AI$18,7),$AI$11:$AK$18,2,0))</f>
        <v>66</v>
      </c>
      <c r="AF30" t="str">
        <f>IF(OR($G$3="",$G$7="",$G$11="",$G$15="",$G$19="",$G$23="",$G$27="",$G$31=""),"",VLOOKUP(SMALL($AI$11:$AI$18,7),$AI$11:$AK$18,3,0))</f>
        <v>Andy Frost</v>
      </c>
      <c r="AG30">
        <v>10</v>
      </c>
    </row>
    <row r="31" spans="1:37" x14ac:dyDescent="0.3">
      <c r="A31" s="3"/>
      <c r="E31" s="2"/>
      <c r="F31" s="1">
        <f>IF(AND(D30=0,D32=0),"",IF(D30&gt;D32,A30,A32))</f>
        <v>11</v>
      </c>
      <c r="G31" s="1">
        <f>IF(AND(D30=0,D32=0),"",IF(D30&gt;D32,B30,B32))</f>
        <v>86</v>
      </c>
      <c r="H31" s="1" t="str">
        <f>IF(AND(D30=0,D32=0),"",IF(D30&gt;D32,C30,C32))</f>
        <v>David Bastin</v>
      </c>
      <c r="I31" s="1">
        <f>AB37</f>
        <v>3</v>
      </c>
      <c r="J31" s="2"/>
      <c r="P31" s="1">
        <f>AD9</f>
        <v>13</v>
      </c>
      <c r="Q31" s="1">
        <f>AE9</f>
        <v>41</v>
      </c>
      <c r="R31" s="1" t="str">
        <f>AF9</f>
        <v>Ian Phillips</v>
      </c>
      <c r="S31" s="1">
        <f>AG9</f>
        <v>0</v>
      </c>
      <c r="T31" s="2"/>
      <c r="Y31" s="1">
        <f>F15</f>
        <v>12</v>
      </c>
      <c r="Z31" s="1">
        <f t="shared" ref="Z31:AA31" si="21">G15</f>
        <v>56</v>
      </c>
      <c r="AA31" s="1" t="str">
        <f t="shared" si="21"/>
        <v>Jonathan Smith</v>
      </c>
      <c r="AB31" s="4"/>
      <c r="AD31">
        <v>16</v>
      </c>
      <c r="AE31">
        <f>IF(OR($G$3="",$G$7="",$G$11="",$G$15="",$G$19="",$G$23="",$G$27="",$G$31=""),"",VLOOKUP(SMALL($AI$11:$AI$18,8),$AI$11:$AK$18,2,0))</f>
        <v>420</v>
      </c>
      <c r="AF31" t="str">
        <f>IF(OR($G$3="",$G$7="",$G$11="",$G$15="",$G$19="",$G$23="",$G$27="",$G$31=""),"",VLOOKUP(SMALL($AI$11:$AI$18,8),$AI$11:$AK$18,3,0))</f>
        <v>Harry Love</v>
      </c>
      <c r="AG31">
        <v>10</v>
      </c>
    </row>
    <row r="32" spans="1:37" x14ac:dyDescent="0.3">
      <c r="A32" s="1">
        <v>11</v>
      </c>
      <c r="B32" s="1">
        <f>VLOOKUP(A32,'Round 3'!$AI$3:$AK$18,2,0)</f>
        <v>86</v>
      </c>
      <c r="C32" s="1" t="str">
        <f>VLOOKUP(A32,'Round 3'!$AI$3:$AK$18,3,0)</f>
        <v>David Bastin</v>
      </c>
      <c r="D32" s="1">
        <f>AB25</f>
        <v>3</v>
      </c>
      <c r="E32" s="2"/>
      <c r="T32" s="2"/>
      <c r="U32" s="1"/>
      <c r="V32" s="1">
        <f>AE18</f>
        <v>20</v>
      </c>
      <c r="W32" s="1" t="str">
        <f>AF18</f>
        <v>Ryan Hughes</v>
      </c>
      <c r="AD32">
        <v>17</v>
      </c>
      <c r="AE32">
        <f>VLOOKUP(RD3pts[[#This Row],[Final]],'Round 3'!$X$19:$AG$27,3,0)</f>
        <v>353</v>
      </c>
      <c r="AF32" t="str">
        <f>VLOOKUP(RD3pts[[#This Row],[Final]],'Round 3'!$X$19:$AG$27,4,0)</f>
        <v>Liam Lawrence</v>
      </c>
      <c r="AG32">
        <f>VLOOKUP(RD3pts[[#This Row],[Final]],'Round 3'!$X$19:$AG$27,10,0)</f>
        <v>5</v>
      </c>
    </row>
    <row r="33" spans="16:33" x14ac:dyDescent="0.3">
      <c r="P33" s="1">
        <f>AD10</f>
        <v>2</v>
      </c>
      <c r="Q33" s="1">
        <f>AE10</f>
        <v>20</v>
      </c>
      <c r="R33" s="1" t="str">
        <f>AF10</f>
        <v>Ryan Hughes</v>
      </c>
      <c r="S33" s="1">
        <f>AG10</f>
        <v>3</v>
      </c>
      <c r="T33" s="2"/>
      <c r="Y33" s="1">
        <f>F19</f>
        <v>2</v>
      </c>
      <c r="Z33" s="1">
        <f>G19</f>
        <v>20</v>
      </c>
      <c r="AA33" s="1" t="str">
        <f>H19</f>
        <v>Ryan Hughes</v>
      </c>
      <c r="AB33" s="4">
        <v>3</v>
      </c>
      <c r="AD33">
        <v>18</v>
      </c>
      <c r="AE33">
        <f>VLOOKUP(RD3pts[[#This Row],[Final]],'Round 3'!$X$19:$AG$27,3,0)</f>
        <v>39</v>
      </c>
      <c r="AF33" t="str">
        <f>VLOOKUP(RD3pts[[#This Row],[Final]],'Round 3'!$X$19:$AG$27,4,0)</f>
        <v>Paul Beechey</v>
      </c>
      <c r="AG33">
        <f>VLOOKUP(RD3pts[[#This Row],[Final]],'Round 3'!$X$19:$AG$27,10,0)</f>
        <v>5</v>
      </c>
    </row>
    <row r="34" spans="16:33" x14ac:dyDescent="0.3">
      <c r="Y34" s="1">
        <f>F23</f>
        <v>7</v>
      </c>
      <c r="Z34" s="1">
        <f>G23</f>
        <v>265</v>
      </c>
      <c r="AA34" s="1" t="str">
        <f>H23</f>
        <v>Axel Hildebrand</v>
      </c>
      <c r="AB34" s="4"/>
      <c r="AD34">
        <v>19</v>
      </c>
      <c r="AE34">
        <f>VLOOKUP(RD3pts[[#This Row],[Final]],'Round 3'!$X$19:$AG$27,3,0)</f>
        <v>18</v>
      </c>
      <c r="AF34" t="str">
        <f>VLOOKUP(RD3pts[[#This Row],[Final]],'Round 3'!$X$19:$AG$27,4,0)</f>
        <v>Matthew Denham</v>
      </c>
      <c r="AG34">
        <f>VLOOKUP(RD3pts[[#This Row],[Final]],'Round 3'!$X$19:$AG$27,10,0)</f>
        <v>0</v>
      </c>
    </row>
    <row r="35" spans="16:33" x14ac:dyDescent="0.3">
      <c r="AD35">
        <v>20</v>
      </c>
      <c r="AE35">
        <f>VLOOKUP(RD3pts[[#This Row],[Final]],'Round 3'!$X$19:$AG$27,3,0)</f>
        <v>147</v>
      </c>
      <c r="AF35" t="str">
        <f>VLOOKUP(RD3pts[[#This Row],[Final]],'Round 3'!$X$19:$AG$27,4,0)</f>
        <v>Richie Gilbey</v>
      </c>
      <c r="AG35">
        <f>VLOOKUP(RD3pts[[#This Row],[Final]],'Round 3'!$X$19:$AG$27,10,0)</f>
        <v>1</v>
      </c>
    </row>
    <row r="36" spans="16:33" x14ac:dyDescent="0.3">
      <c r="Y36" s="1">
        <f>F27</f>
        <v>3</v>
      </c>
      <c r="Z36" s="1">
        <f>G27</f>
        <v>128</v>
      </c>
      <c r="AA36" s="1" t="str">
        <f>H27</f>
        <v>Lwi Edwards</v>
      </c>
      <c r="AB36" s="4"/>
      <c r="AD36">
        <v>21</v>
      </c>
      <c r="AE36" t="e">
        <f>VLOOKUP(RD3pts[[#This Row],[Final]],'Round 3'!$X$19:$AG$27,3,0)</f>
        <v>#N/A</v>
      </c>
      <c r="AF36" t="e">
        <f>VLOOKUP(RD3pts[[#This Row],[Final]],'Round 3'!$X$19:$AG$27,4,0)</f>
        <v>#N/A</v>
      </c>
      <c r="AG36" t="e">
        <f>VLOOKUP(RD3pts[[#This Row],[Final]],'Round 3'!$X$19:$AG$27,10,0)</f>
        <v>#N/A</v>
      </c>
    </row>
    <row r="37" spans="16:33" x14ac:dyDescent="0.3">
      <c r="Y37" s="1">
        <f>F31</f>
        <v>11</v>
      </c>
      <c r="Z37" s="1">
        <f>G31</f>
        <v>86</v>
      </c>
      <c r="AA37" s="1" t="str">
        <f>H31</f>
        <v>David Bastin</v>
      </c>
      <c r="AB37" s="4">
        <v>3</v>
      </c>
      <c r="AD37">
        <v>22</v>
      </c>
      <c r="AE37" t="e">
        <f>VLOOKUP(RD3pts[[#This Row],[Final]],'Round 3'!$X$19:$AG$27,3,0)</f>
        <v>#N/A</v>
      </c>
      <c r="AF37" t="e">
        <f>VLOOKUP(RD3pts[[#This Row],[Final]],'Round 3'!$X$19:$AG$27,4,0)</f>
        <v>#N/A</v>
      </c>
      <c r="AG37" t="e">
        <f>VLOOKUP(RD3pts[[#This Row],[Final]],'Round 3'!$X$19:$AG$27,10,0)</f>
        <v>#N/A</v>
      </c>
    </row>
    <row r="38" spans="16:33" x14ac:dyDescent="0.3">
      <c r="AD38">
        <v>23</v>
      </c>
      <c r="AE38" t="e">
        <f>VLOOKUP(RD3pts[[#This Row],[Final]],'Round 3'!$X$19:$AG$27,3,0)</f>
        <v>#N/A</v>
      </c>
      <c r="AF38" t="e">
        <f>VLOOKUP(RD3pts[[#This Row],[Final]],'Round 3'!$X$19:$AG$27,4,0)</f>
        <v>#N/A</v>
      </c>
      <c r="AG38" t="e">
        <f>VLOOKUP(RD3pts[[#This Row],[Final]],'Round 3'!$X$19:$AG$27,10,0)</f>
        <v>#N/A</v>
      </c>
    </row>
    <row r="39" spans="16:33" x14ac:dyDescent="0.3">
      <c r="AD39">
        <v>24</v>
      </c>
      <c r="AE39" t="e">
        <f>VLOOKUP(RD3pts[[#This Row],[Final]],'Round 3'!$X$19:$AG$27,3,0)</f>
        <v>#N/A</v>
      </c>
      <c r="AF39" t="e">
        <f>VLOOKUP(RD3pts[[#This Row],[Final]],'Round 3'!$X$19:$AG$27,4,0)</f>
        <v>#N/A</v>
      </c>
      <c r="AG39" t="e">
        <f>VLOOKUP(RD3pts[[#This Row],[Final]],'Round 3'!$X$19:$AG$27,10,0)</f>
        <v>#N/A</v>
      </c>
    </row>
    <row r="40" spans="16:33" x14ac:dyDescent="0.3">
      <c r="AD40">
        <v>25</v>
      </c>
      <c r="AE40" t="e">
        <f>VLOOKUP(RD3pts[[#This Row],[Final]],'Round 3'!$X$19:$AG$27,3,0)</f>
        <v>#N/A</v>
      </c>
      <c r="AF40" t="e">
        <f>VLOOKUP(RD3pts[[#This Row],[Final]],'Round 3'!$X$19:$AG$27,4,0)</f>
        <v>#N/A</v>
      </c>
      <c r="AG40" t="e">
        <f>VLOOKUP(RD3pts[[#This Row],[Final]],'Round 3'!$X$19:$AG$27,10,0)</f>
        <v>#N/A</v>
      </c>
    </row>
  </sheetData>
  <conditionalFormatting sqref="A2:D2">
    <cfRule type="expression" dxfId="1043" priority="132">
      <formula>$D2&gt;$D4</formula>
    </cfRule>
    <cfRule type="expression" dxfId="1042" priority="130">
      <formula>$D2&lt;$D4</formula>
    </cfRule>
    <cfRule type="expression" dxfId="1041" priority="129">
      <formula>AND($D2=$D4,$A2&lt;$A4)</formula>
    </cfRule>
  </conditionalFormatting>
  <conditionalFormatting sqref="A4:D4">
    <cfRule type="expression" dxfId="1040" priority="128">
      <formula>$D4&lt;$D2</formula>
    </cfRule>
    <cfRule type="expression" dxfId="1039" priority="131">
      <formula>$D4&gt;$D2</formula>
    </cfRule>
    <cfRule type="expression" dxfId="1038" priority="127">
      <formula>AND($D4=$D2,$A4&lt;$A2)</formula>
    </cfRule>
  </conditionalFormatting>
  <conditionalFormatting sqref="A6:D6 A10:D10 A14:D14 A18:D18 A22:D22 A26:D26 A30:D30">
    <cfRule type="expression" dxfId="1037" priority="101">
      <formula>$D6&lt;$D8</formula>
    </cfRule>
    <cfRule type="expression" dxfId="1036" priority="100">
      <formula>AND($D6=$D8,$A6&lt;$A8)</formula>
    </cfRule>
    <cfRule type="expression" dxfId="1035" priority="102">
      <formula>$D6&gt;$D8</formula>
    </cfRule>
  </conditionalFormatting>
  <conditionalFormatting sqref="A8:D8 A12:D12 A16:D16 A20:D20 A24:D24 A28:D28 A32:D32">
    <cfRule type="expression" dxfId="1034" priority="99">
      <formula>$D8&gt;$D6</formula>
    </cfRule>
    <cfRule type="expression" dxfId="1033" priority="97">
      <formula>AND($D8=$D6,$A8&lt;$A6)</formula>
    </cfRule>
    <cfRule type="expression" dxfId="1032" priority="98">
      <formula>$D8&lt;$D6</formula>
    </cfRule>
  </conditionalFormatting>
  <conditionalFormatting sqref="F3:I3">
    <cfRule type="expression" dxfId="1031" priority="126">
      <formula>$I3&gt;$I7</formula>
    </cfRule>
    <cfRule type="expression" dxfId="1030" priority="125">
      <formula>$I3&lt;$I7</formula>
    </cfRule>
    <cfRule type="expression" dxfId="1029" priority="124">
      <formula>AND($I3=$I7,$F3&lt;$F7)</formula>
    </cfRule>
  </conditionalFormatting>
  <conditionalFormatting sqref="F7:I7">
    <cfRule type="expression" dxfId="1028" priority="120">
      <formula>$I7&gt;$I3</formula>
    </cfRule>
    <cfRule type="expression" dxfId="1027" priority="119">
      <formula>$I7&lt;$I3</formula>
    </cfRule>
    <cfRule type="expression" dxfId="1026" priority="118">
      <formula>AND($I7=$I3,$F7&lt;$F3)</formula>
    </cfRule>
  </conditionalFormatting>
  <conditionalFormatting sqref="F11:I11 F19:I19 F27:I27">
    <cfRule type="expression" dxfId="1025" priority="121">
      <formula>AND($I11=$I15,$F11&lt;$F15)</formula>
    </cfRule>
    <cfRule type="expression" dxfId="1024" priority="123">
      <formula>$I11&gt;$I15</formula>
    </cfRule>
    <cfRule type="expression" dxfId="1023" priority="122">
      <formula>$I11&lt;$I15</formula>
    </cfRule>
  </conditionalFormatting>
  <conditionalFormatting sqref="F15:I15 F23:I23 F31:I31">
    <cfRule type="expression" dxfId="1022" priority="116">
      <formula>$I15&lt;$I11</formula>
    </cfRule>
    <cfRule type="expression" dxfId="1021" priority="117">
      <formula>$I15&gt;$I11</formula>
    </cfRule>
    <cfRule type="expression" dxfId="1020" priority="115">
      <formula>AND($I15=$I11,$F15&lt;$F11)</formula>
    </cfRule>
  </conditionalFormatting>
  <conditionalFormatting sqref="K5:N5">
    <cfRule type="expression" dxfId="1019" priority="114">
      <formula>$N5&gt;$N13</formula>
    </cfRule>
    <cfRule type="expression" dxfId="1018" priority="113">
      <formula>$N5&lt;$N13</formula>
    </cfRule>
    <cfRule type="expression" dxfId="1017" priority="112">
      <formula>AND($N5=$N13,$K5&lt;$K13)</formula>
    </cfRule>
  </conditionalFormatting>
  <conditionalFormatting sqref="K13:N13">
    <cfRule type="expression" dxfId="1016" priority="106">
      <formula>AND($N13=$N5,$K13&lt;$K5)</formula>
    </cfRule>
    <cfRule type="expression" dxfId="1015" priority="108">
      <formula>$N13&gt;$N5</formula>
    </cfRule>
    <cfRule type="expression" dxfId="1014" priority="107">
      <formula>$N13&lt;$N5</formula>
    </cfRule>
  </conditionalFormatting>
  <conditionalFormatting sqref="K21:N21">
    <cfRule type="expression" dxfId="1013" priority="109">
      <formula>AND($N21=$N29,$K21&lt;$K29)</formula>
    </cfRule>
    <cfRule type="expression" dxfId="1012" priority="111">
      <formula>$N21&gt;$N29</formula>
    </cfRule>
    <cfRule type="expression" dxfId="1011" priority="110">
      <formula>$N21&lt;$N29</formula>
    </cfRule>
  </conditionalFormatting>
  <conditionalFormatting sqref="K29:N29">
    <cfRule type="expression" dxfId="1010" priority="105">
      <formula>$N29&gt;$N21</formula>
    </cfRule>
    <cfRule type="expression" dxfId="1009" priority="103">
      <formula>AND($N29=$N21,$K29&lt;$K21)</formula>
    </cfRule>
    <cfRule type="expression" dxfId="1008" priority="104">
      <formula>$N29&lt;$N21</formula>
    </cfRule>
  </conditionalFormatting>
  <conditionalFormatting sqref="P9:S9">
    <cfRule type="expression" dxfId="1007" priority="96">
      <formula>$S9&gt;$S25</formula>
    </cfRule>
    <cfRule type="expression" dxfId="1006" priority="95">
      <formula>$S9&lt;$S25</formula>
    </cfRule>
    <cfRule type="expression" dxfId="1005" priority="94">
      <formula>AND($S9=$S25,$P9&lt;$P25)</formula>
    </cfRule>
  </conditionalFormatting>
  <conditionalFormatting sqref="P25:S25">
    <cfRule type="expression" dxfId="1004" priority="93">
      <formula>$S25&gt;$S9</formula>
    </cfRule>
    <cfRule type="expression" dxfId="1003" priority="92">
      <formula>$S25&lt;$S9</formula>
    </cfRule>
    <cfRule type="expression" dxfId="1002" priority="91">
      <formula>AND($S25=$S9,$P25&lt;$P9)</formula>
    </cfRule>
  </conditionalFormatting>
  <conditionalFormatting sqref="Y3:AB3">
    <cfRule type="expression" dxfId="1001" priority="90">
      <formula>AND($AB3=$AB4,$Y3&lt;$Y4)</formula>
    </cfRule>
    <cfRule type="expression" dxfId="1000" priority="89">
      <formula>$AB3&gt;$AB4</formula>
    </cfRule>
    <cfRule type="expression" dxfId="999" priority="88">
      <formula>$AB3&lt;$AB4</formula>
    </cfRule>
  </conditionalFormatting>
  <conditionalFormatting sqref="Y4:AB4">
    <cfRule type="expression" dxfId="998" priority="87">
      <formula>AND($AB4=$AB3,$Y4&lt;$Y3)</formula>
    </cfRule>
    <cfRule type="expression" dxfId="997" priority="86">
      <formula>$AB4&gt;$AB3</formula>
    </cfRule>
    <cfRule type="expression" dxfId="996" priority="85">
      <formula>$AB4&lt;$AB3</formula>
    </cfRule>
  </conditionalFormatting>
  <conditionalFormatting sqref="Y6:AB6">
    <cfRule type="expression" dxfId="995" priority="83">
      <formula>$AB6&gt;$AB7</formula>
    </cfRule>
    <cfRule type="expression" dxfId="994" priority="84">
      <formula>AND($AB6=$AB7,$Y6&lt;$Y7)</formula>
    </cfRule>
    <cfRule type="expression" dxfId="993" priority="82">
      <formula>$AB6&lt;$AB7</formula>
    </cfRule>
  </conditionalFormatting>
  <conditionalFormatting sqref="Y7:AB7">
    <cfRule type="expression" dxfId="992" priority="81">
      <formula>AND($AB7=$AB6,$Y7&lt;$Y6)</formula>
    </cfRule>
    <cfRule type="expression" dxfId="991" priority="80">
      <formula>$AB7&gt;$AB6</formula>
    </cfRule>
    <cfRule type="expression" dxfId="990" priority="79">
      <formula>$AB7&lt;$AB6</formula>
    </cfRule>
  </conditionalFormatting>
  <conditionalFormatting sqref="Y9:AB9">
    <cfRule type="expression" dxfId="989" priority="78">
      <formula>AND($AB9=$AB10,$Y9&lt;$Y10)</formula>
    </cfRule>
    <cfRule type="expression" dxfId="988" priority="77">
      <formula>$AB9&gt;$AB10</formula>
    </cfRule>
    <cfRule type="expression" dxfId="987" priority="76">
      <formula>$AB9&lt;$AB10</formula>
    </cfRule>
  </conditionalFormatting>
  <conditionalFormatting sqref="Y10:AB10">
    <cfRule type="expression" dxfId="986" priority="75">
      <formula>AND($AB10=$AB9,$Y10&lt;$Y9)</formula>
    </cfRule>
    <cfRule type="expression" dxfId="985" priority="74">
      <formula>$AB10&gt;$AB9</formula>
    </cfRule>
    <cfRule type="expression" dxfId="984" priority="73">
      <formula>$AB10&lt;$AB9</formula>
    </cfRule>
  </conditionalFormatting>
  <conditionalFormatting sqref="Y12:AB12">
    <cfRule type="expression" dxfId="983" priority="72">
      <formula>AND($AB12=$AB13,$Y12&lt;$Y13)</formula>
    </cfRule>
    <cfRule type="expression" dxfId="982" priority="70">
      <formula>$AB12&lt;$AB13</formula>
    </cfRule>
    <cfRule type="expression" dxfId="981" priority="71">
      <formula>$AB12&gt;$AB13</formula>
    </cfRule>
  </conditionalFormatting>
  <conditionalFormatting sqref="Y13:AB13">
    <cfRule type="expression" dxfId="980" priority="67">
      <formula>$AB13&lt;$AB12</formula>
    </cfRule>
    <cfRule type="expression" dxfId="979" priority="68">
      <formula>$AB13&gt;$AB12</formula>
    </cfRule>
    <cfRule type="expression" dxfId="978" priority="69">
      <formula>AND($AB13=$AB12,$Y13&lt;$Y12)</formula>
    </cfRule>
  </conditionalFormatting>
  <conditionalFormatting sqref="Y15:AB15">
    <cfRule type="expression" dxfId="977" priority="66">
      <formula>AND($AB15=$AB16,$Y15&lt;$Y16)</formula>
    </cfRule>
    <cfRule type="expression" dxfId="976" priority="65">
      <formula>$AB15&gt;$AB16</formula>
    </cfRule>
    <cfRule type="expression" dxfId="975" priority="64">
      <formula>$AB15&lt;$AB16</formula>
    </cfRule>
  </conditionalFormatting>
  <conditionalFormatting sqref="Y16:AB16">
    <cfRule type="expression" dxfId="974" priority="61">
      <formula>$AB16&lt;$AB15</formula>
    </cfRule>
    <cfRule type="expression" dxfId="973" priority="63">
      <formula>AND($AB16=$AB15,$Y16&lt;$Y15)</formula>
    </cfRule>
    <cfRule type="expression" dxfId="972" priority="62">
      <formula>$AB16&gt;$AB15</formula>
    </cfRule>
  </conditionalFormatting>
  <conditionalFormatting sqref="Y18:AB18">
    <cfRule type="expression" dxfId="971" priority="60">
      <formula>AND($AB18=$AB19,$Y18&lt;$Y19)</formula>
    </cfRule>
    <cfRule type="expression" dxfId="970" priority="59">
      <formula>$AB18&gt;$AB19</formula>
    </cfRule>
    <cfRule type="expression" dxfId="969" priority="58">
      <formula>$AB18&lt;$AB19</formula>
    </cfRule>
  </conditionalFormatting>
  <conditionalFormatting sqref="Y19:AB19">
    <cfRule type="expression" dxfId="968" priority="57">
      <formula>AND($AB19=$AB18,$Y19&lt;$Y18)</formula>
    </cfRule>
    <cfRule type="expression" dxfId="967" priority="56">
      <formula>$AB19&gt;$AB18</formula>
    </cfRule>
    <cfRule type="expression" dxfId="966" priority="55">
      <formula>$AB19&lt;$AB18</formula>
    </cfRule>
  </conditionalFormatting>
  <conditionalFormatting sqref="Y21:AB21">
    <cfRule type="expression" dxfId="965" priority="54">
      <formula>AND($AB21=$AB22,$Y21&lt;$Y22)</formula>
    </cfRule>
    <cfRule type="expression" dxfId="964" priority="53">
      <formula>$AB21&gt;$AB22</formula>
    </cfRule>
    <cfRule type="expression" dxfId="963" priority="52">
      <formula>$AB21&lt;$AB22</formula>
    </cfRule>
  </conditionalFormatting>
  <conditionalFormatting sqref="Y22:AB22">
    <cfRule type="expression" dxfId="962" priority="51">
      <formula>AND($AB22=$AB21,$Y22&lt;$Y21)</formula>
    </cfRule>
    <cfRule type="expression" dxfId="961" priority="50">
      <formula>$AB22&gt;$AB21</formula>
    </cfRule>
    <cfRule type="expression" dxfId="960" priority="49">
      <formula>$AB22&lt;$AB21</formula>
    </cfRule>
  </conditionalFormatting>
  <conditionalFormatting sqref="Y24:AB24">
    <cfRule type="expression" dxfId="959" priority="48">
      <formula>AND($AB24=$AB25,$Y24&lt;$Y25)</formula>
    </cfRule>
    <cfRule type="expression" dxfId="958" priority="47">
      <formula>$AB24&gt;$AB25</formula>
    </cfRule>
    <cfRule type="expression" dxfId="957" priority="46">
      <formula>$AB24&lt;$AB25</formula>
    </cfRule>
  </conditionalFormatting>
  <conditionalFormatting sqref="Y25:AB25">
    <cfRule type="expression" dxfId="956" priority="45">
      <formula>AND($AB25=$AB24,$Y25&lt;$Y24)</formula>
    </cfRule>
    <cfRule type="expression" dxfId="955" priority="44">
      <formula>$AB25&gt;$AB24</formula>
    </cfRule>
    <cfRule type="expression" dxfId="954" priority="43">
      <formula>$AB25&lt;$AB24</formula>
    </cfRule>
  </conditionalFormatting>
  <conditionalFormatting sqref="Y27:AB27">
    <cfRule type="expression" dxfId="953" priority="42">
      <formula>AND($AB27=$AB28,$Y27&lt;$Y28)</formula>
    </cfRule>
    <cfRule type="expression" dxfId="952" priority="41">
      <formula>$AB27&gt;$AB28</formula>
    </cfRule>
    <cfRule type="expression" dxfId="951" priority="40">
      <formula>$AB27&lt;$AB28</formula>
    </cfRule>
  </conditionalFormatting>
  <conditionalFormatting sqref="Y28:AB28">
    <cfRule type="expression" dxfId="950" priority="39">
      <formula>AND($AB28=$AB27,$Y28&lt;$Y27)</formula>
    </cfRule>
    <cfRule type="expression" dxfId="949" priority="38">
      <formula>$AB28&gt;$AB27</formula>
    </cfRule>
    <cfRule type="expression" dxfId="948" priority="37">
      <formula>$AB28&lt;$AB27</formula>
    </cfRule>
  </conditionalFormatting>
  <conditionalFormatting sqref="Y30:AB30">
    <cfRule type="expression" dxfId="947" priority="36">
      <formula>AND($AB30=$AB31,$Y30&lt;$Y31)</formula>
    </cfRule>
    <cfRule type="expression" dxfId="946" priority="35">
      <formula>$AB30&gt;$AB31</formula>
    </cfRule>
    <cfRule type="expression" dxfId="945" priority="34">
      <formula>$AB30&lt;$AB31</formula>
    </cfRule>
  </conditionalFormatting>
  <conditionalFormatting sqref="Y31:AB31">
    <cfRule type="expression" dxfId="944" priority="33">
      <formula>AND($AB31=$AB30,$Y31&lt;$Y30)</formula>
    </cfRule>
    <cfRule type="expression" dxfId="943" priority="32">
      <formula>$AB31&gt;$AB30</formula>
    </cfRule>
    <cfRule type="expression" dxfId="942" priority="31">
      <formula>$AB31&lt;$AB30</formula>
    </cfRule>
  </conditionalFormatting>
  <conditionalFormatting sqref="Y33:AB33">
    <cfRule type="expression" dxfId="941" priority="30">
      <formula>AND($AB33=$AB34,$Y33&lt;$Y34)</formula>
    </cfRule>
    <cfRule type="expression" dxfId="940" priority="29">
      <formula>$AB33&gt;$AB34</formula>
    </cfRule>
    <cfRule type="expression" dxfId="939" priority="28">
      <formula>$AB33&lt;$AB34</formula>
    </cfRule>
  </conditionalFormatting>
  <conditionalFormatting sqref="Y34:AB34">
    <cfRule type="expression" dxfId="938" priority="27">
      <formula>AND($AB34=$AB33,$Y34&lt;$Y33)</formula>
    </cfRule>
    <cfRule type="expression" dxfId="937" priority="26">
      <formula>$AB34&gt;$AB33</formula>
    </cfRule>
    <cfRule type="expression" dxfId="936" priority="25">
      <formula>$AB34&lt;$AB33</formula>
    </cfRule>
  </conditionalFormatting>
  <conditionalFormatting sqref="Y36:AB36">
    <cfRule type="expression" dxfId="935" priority="24">
      <formula>AND($AB36=$AB37,$Y36&lt;$Y37)</formula>
    </cfRule>
    <cfRule type="expression" dxfId="934" priority="23">
      <formula>$AB36&gt;$AB37</formula>
    </cfRule>
    <cfRule type="expression" dxfId="933" priority="22">
      <formula>$AB36&lt;$AB37</formula>
    </cfRule>
  </conditionalFormatting>
  <conditionalFormatting sqref="Y37:AB37">
    <cfRule type="expression" dxfId="932" priority="19">
      <formula>$AB37&lt;$AB36</formula>
    </cfRule>
    <cfRule type="expression" dxfId="931" priority="20">
      <formula>$AB37&gt;$AB36</formula>
    </cfRule>
    <cfRule type="expression" dxfId="930" priority="21">
      <formula>AND($AB37=$AB36,$Y37&lt;$Y36)</formula>
    </cfRule>
  </conditionalFormatting>
  <conditionalFormatting sqref="AD3:AG3 AD12:AG12">
    <cfRule type="expression" dxfId="929" priority="17">
      <formula>$AG3&gt;$AG4</formula>
    </cfRule>
    <cfRule type="expression" dxfId="928" priority="18">
      <formula>AND($AG3=$AG4,$AD3&lt;$AD4)</formula>
    </cfRule>
    <cfRule type="expression" dxfId="927" priority="16">
      <formula>$AG3&lt;$AG4</formula>
    </cfRule>
  </conditionalFormatting>
  <conditionalFormatting sqref="AD4:AG4 AD13:AG13">
    <cfRule type="expression" dxfId="926" priority="15">
      <formula>AND($AG4=$AG3,$AD4&lt;$AD3)</formula>
    </cfRule>
    <cfRule type="expression" dxfId="925" priority="14">
      <formula>$AG4&gt;$AG3</formula>
    </cfRule>
    <cfRule type="expression" dxfId="924" priority="13">
      <formula>$AG4&lt;$AG3</formula>
    </cfRule>
  </conditionalFormatting>
  <conditionalFormatting sqref="AD6:AG6">
    <cfRule type="expression" dxfId="923" priority="12">
      <formula>AND($AG6=$AG7,$AD6&lt;$AD7)</formula>
    </cfRule>
    <cfRule type="expression" dxfId="922" priority="11">
      <formula>$AG6&gt;$AG7</formula>
    </cfRule>
    <cfRule type="expression" dxfId="921" priority="10">
      <formula>$AG6&lt;$AG7</formula>
    </cfRule>
  </conditionalFormatting>
  <conditionalFormatting sqref="AD7:AG7">
    <cfRule type="expression" dxfId="920" priority="9">
      <formula>AND($AG7=$AG6,$AD7&lt;$AD6)</formula>
    </cfRule>
    <cfRule type="expression" dxfId="919" priority="8">
      <formula>$AG7&gt;$AG6</formula>
    </cfRule>
    <cfRule type="expression" dxfId="918" priority="7">
      <formula>$AG7&lt;$AG6</formula>
    </cfRule>
  </conditionalFormatting>
  <conditionalFormatting sqref="AD9:AG9">
    <cfRule type="expression" dxfId="917" priority="4">
      <formula>$AG9&lt;$AG10</formula>
    </cfRule>
    <cfRule type="expression" dxfId="916" priority="6">
      <formula>AND($AG9=$AG10,$AD9&lt;$AD10)</formula>
    </cfRule>
    <cfRule type="expression" dxfId="915" priority="5">
      <formula>$AG9&gt;$AG10</formula>
    </cfRule>
  </conditionalFormatting>
  <conditionalFormatting sqref="AD10:AG10">
    <cfRule type="expression" dxfId="914" priority="3">
      <formula>AND($AG10=$AG9,$AD10&lt;$AD9)</formula>
    </cfRule>
    <cfRule type="expression" dxfId="913" priority="1">
      <formula>$AG10&lt;$AG9</formula>
    </cfRule>
    <cfRule type="expression" dxfId="912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13ED-3973-4E51-865E-5AD92B8C35D8}">
  <sheetPr>
    <pageSetUpPr fitToPage="1"/>
  </sheetPr>
  <dimension ref="A1:W33"/>
  <sheetViews>
    <sheetView workbookViewId="0">
      <selection activeCell="M18" sqref="M18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3 Finals'!A1</f>
        <v>Q Pos</v>
      </c>
      <c r="B1" t="str">
        <f>'Round 3 Finals'!B1</f>
        <v>#</v>
      </c>
      <c r="C1" t="str">
        <f>'Round 3 Finals'!C1</f>
        <v>Name</v>
      </c>
      <c r="D1" t="str">
        <f>'Round 3 Finals'!D1</f>
        <v>Score</v>
      </c>
      <c r="F1" t="str">
        <f>'Round 3 Finals'!F1</f>
        <v>Q</v>
      </c>
      <c r="G1" t="str">
        <f>'Round 3 Finals'!G1</f>
        <v>#</v>
      </c>
      <c r="K1" t="str">
        <f>'Round 3 Finals'!K1</f>
        <v>Q</v>
      </c>
      <c r="L1" t="str">
        <f>'Round 3 Finals'!L1</f>
        <v>#</v>
      </c>
      <c r="P1" t="str">
        <f>'Round 3 Finals'!P1</f>
        <v>Q</v>
      </c>
      <c r="Q1" t="str">
        <f>'Round 3 Finals'!Q1</f>
        <v>#</v>
      </c>
      <c r="V1" t="str">
        <f>'Round 3 Finals'!V1</f>
        <v>#</v>
      </c>
    </row>
    <row r="2" spans="1:22" x14ac:dyDescent="0.3">
      <c r="A2" s="1">
        <f>'Round 3 Finals'!A2</f>
        <v>1</v>
      </c>
      <c r="B2" s="1">
        <f>'Round 3 Finals'!B2</f>
        <v>61</v>
      </c>
      <c r="C2" s="1" t="str">
        <f>'Round 3 Finals'!C2</f>
        <v>Martin Richards</v>
      </c>
      <c r="D2" s="1">
        <f>'Round 3 Finals'!D2</f>
        <v>3</v>
      </c>
      <c r="E2" s="2"/>
    </row>
    <row r="3" spans="1:22" x14ac:dyDescent="0.3">
      <c r="A3" s="3"/>
      <c r="E3" s="2"/>
      <c r="F3" s="1">
        <f>'Round 3 Finals'!F3</f>
        <v>1</v>
      </c>
      <c r="G3" s="1">
        <f>'Round 3 Finals'!G3</f>
        <v>61</v>
      </c>
      <c r="H3" s="1" t="str">
        <f>'Round 3 Finals'!H3</f>
        <v>Martin Richards</v>
      </c>
      <c r="I3" s="1">
        <f>'Round 3 Finals'!I3</f>
        <v>3</v>
      </c>
      <c r="J3" s="2"/>
    </row>
    <row r="4" spans="1:22" x14ac:dyDescent="0.3">
      <c r="A4" s="1">
        <f>'Round 3 Finals'!A4</f>
        <v>16</v>
      </c>
      <c r="B4" s="1">
        <f>'Round 3 Finals'!B4</f>
        <v>420</v>
      </c>
      <c r="C4" s="1" t="str">
        <f>'Round 3 Finals'!C4</f>
        <v>Harry Love</v>
      </c>
      <c r="D4" s="1">
        <f>'Round 3 Finals'!D4</f>
        <v>0</v>
      </c>
      <c r="E4" s="2"/>
      <c r="J4" s="2"/>
    </row>
    <row r="5" spans="1:22" x14ac:dyDescent="0.3">
      <c r="J5" s="2"/>
      <c r="K5" s="1">
        <f>'Round 3 Finals'!K5</f>
        <v>1</v>
      </c>
      <c r="L5" s="1">
        <f>'Round 3 Finals'!L5</f>
        <v>61</v>
      </c>
      <c r="M5" s="1" t="str">
        <f>'Round 3 Finals'!M5</f>
        <v>Martin Richards</v>
      </c>
      <c r="N5" s="1">
        <f>'Round 3 Finals'!N5</f>
        <v>3</v>
      </c>
      <c r="O5" s="2"/>
    </row>
    <row r="6" spans="1:22" x14ac:dyDescent="0.3">
      <c r="A6" s="1">
        <f>'Round 3 Finals'!A6</f>
        <v>8</v>
      </c>
      <c r="B6" s="1">
        <f>'Round 3 Finals'!B6</f>
        <v>26</v>
      </c>
      <c r="C6" s="1" t="str">
        <f>'Round 3 Finals'!C6</f>
        <v>Haydn Cruickshank</v>
      </c>
      <c r="D6" s="1">
        <f>'Round 3 Finals'!D6</f>
        <v>0</v>
      </c>
      <c r="E6" s="2"/>
      <c r="J6" s="2"/>
      <c r="O6" s="2"/>
    </row>
    <row r="7" spans="1:22" x14ac:dyDescent="0.3">
      <c r="A7" s="3"/>
      <c r="E7" s="2"/>
      <c r="F7" s="1">
        <f>'Round 3 Finals'!F7</f>
        <v>9</v>
      </c>
      <c r="G7" s="1">
        <f>'Round 3 Finals'!G7</f>
        <v>55</v>
      </c>
      <c r="H7" s="1" t="str">
        <f>'Round 3 Finals'!H7</f>
        <v>Oliver Evans</v>
      </c>
      <c r="I7" s="1">
        <f>'Round 3 Finals'!I7</f>
        <v>0</v>
      </c>
      <c r="J7" s="2"/>
      <c r="O7" s="2"/>
    </row>
    <row r="8" spans="1:22" x14ac:dyDescent="0.3">
      <c r="A8" s="1">
        <f>'Round 3 Finals'!A8</f>
        <v>9</v>
      </c>
      <c r="B8" s="1">
        <f>'Round 3 Finals'!B8</f>
        <v>55</v>
      </c>
      <c r="C8" s="1" t="str">
        <f>'Round 3 Finals'!C8</f>
        <v>Oliver Evans</v>
      </c>
      <c r="D8" s="1">
        <f>'Round 3 Finals'!D8</f>
        <v>3</v>
      </c>
      <c r="E8" s="2"/>
      <c r="O8" s="2"/>
    </row>
    <row r="9" spans="1:22" x14ac:dyDescent="0.3">
      <c r="O9" s="2"/>
      <c r="P9" s="1">
        <f>'Round 3 Finals'!P9</f>
        <v>1</v>
      </c>
      <c r="Q9" s="1">
        <f>'Round 3 Finals'!Q9</f>
        <v>61</v>
      </c>
      <c r="R9" s="1" t="str">
        <f>'Round 3 Finals'!R9</f>
        <v>Martin Richards</v>
      </c>
      <c r="S9" s="1">
        <f>'Round 3 Finals'!S9</f>
        <v>3</v>
      </c>
      <c r="T9" s="2"/>
    </row>
    <row r="10" spans="1:22" x14ac:dyDescent="0.3">
      <c r="A10" s="1">
        <f>'Round 3 Finals'!A10</f>
        <v>4</v>
      </c>
      <c r="B10" s="1">
        <f>'Round 3 Finals'!B10</f>
        <v>93</v>
      </c>
      <c r="C10" s="1" t="str">
        <f>'Round 3 Finals'!C10</f>
        <v>Josh King</v>
      </c>
      <c r="D10" s="1">
        <f>'Round 3 Finals'!D10</f>
        <v>0</v>
      </c>
      <c r="E10" s="2"/>
      <c r="O10" s="2"/>
      <c r="T10" s="2"/>
    </row>
    <row r="11" spans="1:22" x14ac:dyDescent="0.3">
      <c r="A11" s="3"/>
      <c r="E11" s="2"/>
      <c r="F11" s="1">
        <f>'Round 3 Finals'!F11</f>
        <v>13</v>
      </c>
      <c r="G11" s="1">
        <f>'Round 3 Finals'!G11</f>
        <v>41</v>
      </c>
      <c r="H11" s="1" t="str">
        <f>'Round 3 Finals'!H11</f>
        <v>Ian Phillips</v>
      </c>
      <c r="I11" s="1">
        <f>'Round 3 Finals'!I11</f>
        <v>3</v>
      </c>
      <c r="J11" s="2"/>
      <c r="O11" s="2"/>
      <c r="T11" s="2"/>
    </row>
    <row r="12" spans="1:22" x14ac:dyDescent="0.3">
      <c r="A12" s="1">
        <f>'Round 3 Finals'!A12</f>
        <v>13</v>
      </c>
      <c r="B12" s="1">
        <f>'Round 3 Finals'!B12</f>
        <v>41</v>
      </c>
      <c r="C12" s="1" t="str">
        <f>'Round 3 Finals'!C12</f>
        <v>Ian Phillips</v>
      </c>
      <c r="D12" s="1">
        <f>'Round 3 Finals'!D12</f>
        <v>3</v>
      </c>
      <c r="E12" s="2"/>
      <c r="J12" s="2"/>
      <c r="O12" s="2"/>
      <c r="T12" s="2"/>
    </row>
    <row r="13" spans="1:22" x14ac:dyDescent="0.3">
      <c r="J13" s="2"/>
      <c r="K13" s="1">
        <f>'Round 3 Finals'!K13</f>
        <v>13</v>
      </c>
      <c r="L13" s="1">
        <f>'Round 3 Finals'!L13</f>
        <v>41</v>
      </c>
      <c r="M13" s="1" t="str">
        <f>'Round 3 Finals'!M13</f>
        <v>Ian Phillips</v>
      </c>
      <c r="N13" s="1">
        <f>'Round 3 Finals'!N13</f>
        <v>0</v>
      </c>
      <c r="O13" s="2"/>
      <c r="T13" s="2"/>
    </row>
    <row r="14" spans="1:22" x14ac:dyDescent="0.3">
      <c r="A14" s="1">
        <f>'Round 3 Finals'!A14</f>
        <v>5</v>
      </c>
      <c r="B14" s="1">
        <f>'Round 3 Finals'!B14</f>
        <v>94</v>
      </c>
      <c r="C14" s="1" t="str">
        <f>'Round 3 Finals'!C14</f>
        <v>Paul Cunnington</v>
      </c>
      <c r="D14" s="1">
        <f>'Round 3 Finals'!D14</f>
        <v>0</v>
      </c>
      <c r="E14" s="2"/>
      <c r="J14" s="2"/>
      <c r="T14" s="2"/>
    </row>
    <row r="15" spans="1:22" x14ac:dyDescent="0.3">
      <c r="A15" s="3"/>
      <c r="E15" s="2"/>
      <c r="F15" s="1">
        <f>'Round 3 Finals'!F15</f>
        <v>12</v>
      </c>
      <c r="G15" s="1">
        <f>'Round 3 Finals'!G15</f>
        <v>56</v>
      </c>
      <c r="H15" s="1" t="str">
        <f>'Round 3 Finals'!H15</f>
        <v>Jonathan Smith</v>
      </c>
      <c r="I15" s="1">
        <f>'Round 3 Finals'!I15</f>
        <v>0</v>
      </c>
      <c r="J15" s="2"/>
      <c r="T15" s="2"/>
    </row>
    <row r="16" spans="1:22" x14ac:dyDescent="0.3">
      <c r="A16" s="1">
        <f>'Round 3 Finals'!A16</f>
        <v>12</v>
      </c>
      <c r="B16" s="1">
        <f>'Round 3 Finals'!B16</f>
        <v>56</v>
      </c>
      <c r="C16" s="1" t="str">
        <f>'Round 3 Finals'!C16</f>
        <v>Jonathan Smith</v>
      </c>
      <c r="D16" s="1">
        <f>'Round 3 Finals'!D16</f>
        <v>3</v>
      </c>
      <c r="E16" s="2"/>
      <c r="T16" s="2"/>
    </row>
    <row r="17" spans="1:23" x14ac:dyDescent="0.3">
      <c r="T17" s="2"/>
      <c r="U17" s="5">
        <f>'Round 3 Finals'!U17</f>
        <v>1</v>
      </c>
      <c r="V17" s="5">
        <f>'Round 3 Finals'!V17</f>
        <v>61</v>
      </c>
      <c r="W17" s="5" t="str">
        <f>'Round 3 Finals'!W17</f>
        <v>Martin Richards</v>
      </c>
    </row>
    <row r="18" spans="1:23" x14ac:dyDescent="0.3">
      <c r="A18" s="1">
        <f>'Round 3 Finals'!A18</f>
        <v>2</v>
      </c>
      <c r="B18" s="1">
        <f>'Round 3 Finals'!B18</f>
        <v>20</v>
      </c>
      <c r="C18" s="1" t="str">
        <f>'Round 3 Finals'!C18</f>
        <v>Ryan Hughes</v>
      </c>
      <c r="D18" s="1">
        <f>'Round 3 Finals'!D18</f>
        <v>3</v>
      </c>
      <c r="E18" s="2"/>
      <c r="T18" s="2"/>
    </row>
    <row r="19" spans="1:23" x14ac:dyDescent="0.3">
      <c r="A19" s="3"/>
      <c r="E19" s="2"/>
      <c r="F19" s="1">
        <f>'Round 3 Finals'!F19</f>
        <v>2</v>
      </c>
      <c r="G19" s="1">
        <f>'Round 3 Finals'!G19</f>
        <v>20</v>
      </c>
      <c r="H19" s="1" t="str">
        <f>'Round 3 Finals'!H19</f>
        <v>Ryan Hughes</v>
      </c>
      <c r="I19" s="1">
        <f>'Round 3 Finals'!I19</f>
        <v>3</v>
      </c>
      <c r="J19" s="2"/>
      <c r="T19" s="2"/>
    </row>
    <row r="20" spans="1:23" x14ac:dyDescent="0.3">
      <c r="A20" s="1">
        <f>'Round 3 Finals'!A20</f>
        <v>15</v>
      </c>
      <c r="B20" s="1">
        <f>'Round 3 Finals'!B20</f>
        <v>66</v>
      </c>
      <c r="C20" s="1" t="str">
        <f>'Round 3 Finals'!C20</f>
        <v>Andy Frost</v>
      </c>
      <c r="D20" s="1">
        <f>'Round 3 Finals'!D20</f>
        <v>0</v>
      </c>
      <c r="E20" s="2"/>
      <c r="J20" s="2"/>
      <c r="T20" s="2"/>
    </row>
    <row r="21" spans="1:23" x14ac:dyDescent="0.3">
      <c r="J21" s="2"/>
      <c r="K21" s="1">
        <f>'Round 3 Finals'!K21</f>
        <v>2</v>
      </c>
      <c r="L21" s="1">
        <f>'Round 3 Finals'!L21</f>
        <v>20</v>
      </c>
      <c r="M21" s="1" t="str">
        <f>'Round 3 Finals'!M21</f>
        <v>Ryan Hughes</v>
      </c>
      <c r="N21" s="1">
        <f>'Round 3 Finals'!N21</f>
        <v>0</v>
      </c>
      <c r="O21" s="2"/>
      <c r="T21" s="2"/>
    </row>
    <row r="22" spans="1:23" x14ac:dyDescent="0.3">
      <c r="A22" s="1">
        <f>'Round 3 Finals'!A22</f>
        <v>7</v>
      </c>
      <c r="B22" s="1">
        <f>'Round 3 Finals'!B22</f>
        <v>265</v>
      </c>
      <c r="C22" s="1" t="str">
        <f>'Round 3 Finals'!C22</f>
        <v>Axel Hildebrand</v>
      </c>
      <c r="D22" s="1">
        <f>'Round 3 Finals'!D22</f>
        <v>3</v>
      </c>
      <c r="E22" s="2"/>
      <c r="J22" s="2"/>
      <c r="O22" s="2"/>
      <c r="T22" s="2"/>
    </row>
    <row r="23" spans="1:23" x14ac:dyDescent="0.3">
      <c r="A23" s="3"/>
      <c r="E23" s="2"/>
      <c r="F23" s="1">
        <f>'Round 3 Finals'!F23</f>
        <v>7</v>
      </c>
      <c r="G23" s="1">
        <f>'Round 3 Finals'!G23</f>
        <v>265</v>
      </c>
      <c r="H23" s="1" t="str">
        <f>'Round 3 Finals'!H23</f>
        <v>Axel Hildebrand</v>
      </c>
      <c r="I23" s="1">
        <f>'Round 3 Finals'!I23</f>
        <v>0</v>
      </c>
      <c r="J23" s="2"/>
      <c r="O23" s="2"/>
      <c r="T23" s="2"/>
    </row>
    <row r="24" spans="1:23" x14ac:dyDescent="0.3">
      <c r="A24" s="1">
        <f>'Round 3 Finals'!A24</f>
        <v>10</v>
      </c>
      <c r="B24" s="1">
        <f>'Round 3 Finals'!B24</f>
        <v>157</v>
      </c>
      <c r="C24" s="1" t="str">
        <f>'Round 3 Finals'!C24</f>
        <v>George Barclay</v>
      </c>
      <c r="D24" s="1">
        <f>'Round 3 Finals'!D24</f>
        <v>0</v>
      </c>
      <c r="E24" s="2"/>
      <c r="O24" s="2"/>
      <c r="T24" s="2"/>
    </row>
    <row r="25" spans="1:23" x14ac:dyDescent="0.3">
      <c r="O25" s="2"/>
      <c r="P25" s="1">
        <f>'Round 3 Finals'!P25</f>
        <v>11</v>
      </c>
      <c r="Q25" s="1">
        <f>'Round 3 Finals'!Q25</f>
        <v>86</v>
      </c>
      <c r="R25" s="1" t="str">
        <f>'Round 3 Finals'!R25</f>
        <v>David Bastin</v>
      </c>
      <c r="S25" s="1">
        <f>'Round 3 Finals'!S25</f>
        <v>0</v>
      </c>
      <c r="T25" s="2"/>
    </row>
    <row r="26" spans="1:23" x14ac:dyDescent="0.3">
      <c r="A26" s="1">
        <f>'Round 3 Finals'!A26</f>
        <v>3</v>
      </c>
      <c r="B26" s="1">
        <f>'Round 3 Finals'!B26</f>
        <v>128</v>
      </c>
      <c r="C26" s="1" t="str">
        <f>'Round 3 Finals'!C26</f>
        <v>Lwi Edwards</v>
      </c>
      <c r="D26" s="1">
        <f>'Round 3 Finals'!D26</f>
        <v>3</v>
      </c>
      <c r="E26" s="2"/>
      <c r="O26" s="2"/>
    </row>
    <row r="27" spans="1:23" x14ac:dyDescent="0.3">
      <c r="A27" s="3"/>
      <c r="E27" s="2"/>
      <c r="F27" s="1">
        <f>'Round 3 Finals'!F27</f>
        <v>3</v>
      </c>
      <c r="G27" s="1">
        <f>'Round 3 Finals'!G27</f>
        <v>128</v>
      </c>
      <c r="H27" s="1" t="str">
        <f>'Round 3 Finals'!H27</f>
        <v>Lwi Edwards</v>
      </c>
      <c r="I27" s="1">
        <f>'Round 3 Finals'!I27</f>
        <v>0</v>
      </c>
      <c r="J27" s="2"/>
      <c r="O27" s="2"/>
    </row>
    <row r="28" spans="1:23" x14ac:dyDescent="0.3">
      <c r="A28" s="1">
        <f>'Round 3 Finals'!A28</f>
        <v>14</v>
      </c>
      <c r="B28" s="1">
        <f>'Round 3 Finals'!B28</f>
        <v>206</v>
      </c>
      <c r="C28" s="1" t="str">
        <f>'Round 3 Finals'!C28</f>
        <v>Matthew Roberts</v>
      </c>
      <c r="D28" s="1">
        <f>'Round 3 Finals'!D28</f>
        <v>0</v>
      </c>
      <c r="E28" s="2"/>
      <c r="J28" s="2"/>
      <c r="O28" s="2"/>
    </row>
    <row r="29" spans="1:23" x14ac:dyDescent="0.3">
      <c r="J29" s="2"/>
      <c r="K29" s="1">
        <f>'Round 3 Finals'!K29</f>
        <v>11</v>
      </c>
      <c r="L29" s="1">
        <f>'Round 3 Finals'!L29</f>
        <v>86</v>
      </c>
      <c r="M29" s="1" t="str">
        <f>'Round 3 Finals'!M29</f>
        <v>David Bastin</v>
      </c>
      <c r="N29" s="1">
        <f>'Round 3 Finals'!N29</f>
        <v>3</v>
      </c>
      <c r="O29" s="2"/>
    </row>
    <row r="30" spans="1:23" x14ac:dyDescent="0.3">
      <c r="A30" s="1">
        <f>'Round 3 Finals'!A30</f>
        <v>6</v>
      </c>
      <c r="B30" s="1">
        <f>'Round 3 Finals'!B30</f>
        <v>112</v>
      </c>
      <c r="C30" s="1" t="str">
        <f>'Round 3 Finals'!C30</f>
        <v>Nathan Chivers</v>
      </c>
      <c r="D30" s="1">
        <f>'Round 3 Finals'!D30</f>
        <v>0</v>
      </c>
      <c r="E30" s="2"/>
      <c r="J30" s="2"/>
    </row>
    <row r="31" spans="1:23" x14ac:dyDescent="0.3">
      <c r="A31" s="3"/>
      <c r="E31" s="2"/>
      <c r="F31" s="1">
        <f>'Round 3 Finals'!F31</f>
        <v>11</v>
      </c>
      <c r="G31" s="1">
        <f>'Round 3 Finals'!G31</f>
        <v>86</v>
      </c>
      <c r="H31" s="1" t="str">
        <f>'Round 3 Finals'!H31</f>
        <v>David Bastin</v>
      </c>
      <c r="I31" s="1">
        <f>'Round 3 Finals'!I31</f>
        <v>3</v>
      </c>
      <c r="J31" s="2"/>
      <c r="P31" s="1">
        <f>'Round 3 Finals'!P31</f>
        <v>13</v>
      </c>
      <c r="Q31" s="1">
        <f>'Round 3 Finals'!Q31</f>
        <v>41</v>
      </c>
      <c r="R31" s="1" t="str">
        <f>'Round 3 Finals'!R31</f>
        <v>Ian Phillips</v>
      </c>
      <c r="S31" s="1">
        <f>'Round 3 Finals'!S31</f>
        <v>0</v>
      </c>
      <c r="T31" s="2"/>
    </row>
    <row r="32" spans="1:23" x14ac:dyDescent="0.3">
      <c r="A32" s="1">
        <f>'Round 3 Finals'!A32</f>
        <v>11</v>
      </c>
      <c r="B32" s="1">
        <f>'Round 3 Finals'!B32</f>
        <v>86</v>
      </c>
      <c r="C32" s="1" t="str">
        <f>'Round 3 Finals'!C32</f>
        <v>David Bastin</v>
      </c>
      <c r="D32" s="1">
        <f>'Round 3 Finals'!D32</f>
        <v>3</v>
      </c>
      <c r="E32" s="2"/>
      <c r="T32" s="2"/>
      <c r="U32" s="1"/>
      <c r="V32" s="1">
        <f>'Round 3 Finals'!V32</f>
        <v>20</v>
      </c>
      <c r="W32" s="1" t="str">
        <f>'Round 3 Finals'!W32</f>
        <v>Ryan Hughes</v>
      </c>
    </row>
    <row r="33" spans="16:20" x14ac:dyDescent="0.3">
      <c r="P33" s="1">
        <f>'Round 3 Finals'!P33</f>
        <v>2</v>
      </c>
      <c r="Q33" s="1">
        <f>'Round 3 Finals'!Q33</f>
        <v>20</v>
      </c>
      <c r="R33" s="1" t="str">
        <f>'Round 3 Finals'!R33</f>
        <v>Ryan Hughes</v>
      </c>
      <c r="S33" s="1">
        <f>'Round 3 Finals'!S33</f>
        <v>3</v>
      </c>
      <c r="T33" s="2"/>
    </row>
  </sheetData>
  <sheetProtection sheet="1" objects="1" scenarios="1"/>
  <conditionalFormatting sqref="A2:D2">
    <cfRule type="expression" dxfId="911" priority="39">
      <formula>AND($D2=$D4,$A2&lt;$A4)</formula>
    </cfRule>
    <cfRule type="expression" dxfId="910" priority="42">
      <formula>$D2&gt;$D4</formula>
    </cfRule>
    <cfRule type="expression" dxfId="909" priority="40">
      <formula>$D2&lt;$D4</formula>
    </cfRule>
  </conditionalFormatting>
  <conditionalFormatting sqref="A4:D4">
    <cfRule type="expression" dxfId="908" priority="38">
      <formula>$D4&lt;$D2</formula>
    </cfRule>
    <cfRule type="expression" dxfId="907" priority="37">
      <formula>AND($D4=$D2,$A4&lt;$A2)</formula>
    </cfRule>
    <cfRule type="expression" dxfId="906" priority="41">
      <formula>$D4&gt;$D2</formula>
    </cfRule>
  </conditionalFormatting>
  <conditionalFormatting sqref="A6:D6 A10:D10 A14:D14 A18:D18 A22:D22 A26:D26 A30:D30">
    <cfRule type="expression" dxfId="905" priority="11">
      <formula>$D6&lt;$D8</formula>
    </cfRule>
    <cfRule type="expression" dxfId="904" priority="10">
      <formula>AND($D6=$D8,$A6&lt;$A8)</formula>
    </cfRule>
    <cfRule type="expression" dxfId="903" priority="12">
      <formula>$D6&gt;$D8</formula>
    </cfRule>
  </conditionalFormatting>
  <conditionalFormatting sqref="A8:D8 A12:D12 A16:D16 A20:D20 A24:D24 A28:D28 A32:D32">
    <cfRule type="expression" dxfId="902" priority="7">
      <formula>AND($D8=$D6,$A8&lt;$A6)</formula>
    </cfRule>
    <cfRule type="expression" dxfId="901" priority="8">
      <formula>$D8&lt;$D6</formula>
    </cfRule>
    <cfRule type="expression" dxfId="900" priority="9">
      <formula>$D8&gt;$D6</formula>
    </cfRule>
  </conditionalFormatting>
  <conditionalFormatting sqref="F3:I3">
    <cfRule type="expression" dxfId="899" priority="36">
      <formula>$I3&gt;$I7</formula>
    </cfRule>
    <cfRule type="expression" dxfId="898" priority="35">
      <formula>$I3&lt;$I7</formula>
    </cfRule>
    <cfRule type="expression" dxfId="897" priority="34">
      <formula>AND($I3=$I7,$F3&lt;$F7)</formula>
    </cfRule>
  </conditionalFormatting>
  <conditionalFormatting sqref="F7:I7">
    <cfRule type="expression" dxfId="896" priority="30">
      <formula>$I7&gt;$I3</formula>
    </cfRule>
    <cfRule type="expression" dxfId="895" priority="29">
      <formula>$I7&lt;$I3</formula>
    </cfRule>
    <cfRule type="expression" dxfId="894" priority="28">
      <formula>AND($I7=$I3,$F7&lt;$F3)</formula>
    </cfRule>
  </conditionalFormatting>
  <conditionalFormatting sqref="F11:I11 F19:I19 F27:I27">
    <cfRule type="expression" dxfId="893" priority="33">
      <formula>$I11&gt;$I15</formula>
    </cfRule>
    <cfRule type="expression" dxfId="892" priority="31">
      <formula>AND($I11=$I15,$F11&lt;$F15)</formula>
    </cfRule>
    <cfRule type="expression" dxfId="891" priority="32">
      <formula>$I11&lt;$I15</formula>
    </cfRule>
  </conditionalFormatting>
  <conditionalFormatting sqref="F15:I15 F23:I23 F31:I31">
    <cfRule type="expression" dxfId="890" priority="27">
      <formula>$I15&gt;$I11</formula>
    </cfRule>
    <cfRule type="expression" dxfId="889" priority="26">
      <formula>$I15&lt;$I11</formula>
    </cfRule>
    <cfRule type="expression" dxfId="888" priority="25">
      <formula>AND($I15=$I11,$F15&lt;$F11)</formula>
    </cfRule>
  </conditionalFormatting>
  <conditionalFormatting sqref="K5:N5">
    <cfRule type="expression" dxfId="887" priority="22">
      <formula>AND($N5=$N13,$K5&lt;$K13)</formula>
    </cfRule>
    <cfRule type="expression" dxfId="886" priority="23">
      <formula>$N5&lt;$N13</formula>
    </cfRule>
    <cfRule type="expression" dxfId="885" priority="24">
      <formula>$N5&gt;$N13</formula>
    </cfRule>
  </conditionalFormatting>
  <conditionalFormatting sqref="K13:N13">
    <cfRule type="expression" dxfId="884" priority="18">
      <formula>$N13&gt;$N5</formula>
    </cfRule>
    <cfRule type="expression" dxfId="883" priority="16">
      <formula>AND($N13=$N5,$K13&lt;$K5)</formula>
    </cfRule>
    <cfRule type="expression" dxfId="882" priority="17">
      <formula>$N13&lt;$N5</formula>
    </cfRule>
  </conditionalFormatting>
  <conditionalFormatting sqref="K21:N21">
    <cfRule type="expression" dxfId="881" priority="19">
      <formula>AND($N21=$N29,$K21&lt;$K29)</formula>
    </cfRule>
    <cfRule type="expression" dxfId="880" priority="21">
      <formula>$N21&gt;$N29</formula>
    </cfRule>
    <cfRule type="expression" dxfId="879" priority="20">
      <formula>$N21&lt;$N29</formula>
    </cfRule>
  </conditionalFormatting>
  <conditionalFormatting sqref="K29:N29">
    <cfRule type="expression" dxfId="878" priority="15">
      <formula>$N29&gt;$N21</formula>
    </cfRule>
    <cfRule type="expression" dxfId="877" priority="14">
      <formula>$N29&lt;$N21</formula>
    </cfRule>
    <cfRule type="expression" dxfId="876" priority="13">
      <formula>AND($N29=$N21,$K29&lt;$K21)</formula>
    </cfRule>
  </conditionalFormatting>
  <conditionalFormatting sqref="P9:S9">
    <cfRule type="expression" dxfId="875" priority="5">
      <formula>$S9&lt;$S25</formula>
    </cfRule>
    <cfRule type="expression" dxfId="874" priority="4">
      <formula>AND($S9=$S25,$P9&lt;$P25)</formula>
    </cfRule>
    <cfRule type="expression" dxfId="873" priority="6">
      <formula>$S9&gt;$S25</formula>
    </cfRule>
  </conditionalFormatting>
  <conditionalFormatting sqref="P25:S25">
    <cfRule type="expression" dxfId="872" priority="1">
      <formula>AND($S25=$S9,$P25&lt;$P9)</formula>
    </cfRule>
    <cfRule type="expression" dxfId="871" priority="3">
      <formula>$S25&gt;$S9</formula>
    </cfRule>
    <cfRule type="expression" dxfId="870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3AFF-BF28-4D23-BD64-3B9FF82649A2}">
  <dimension ref="A1:AO27"/>
  <sheetViews>
    <sheetView topLeftCell="J1" workbookViewId="0">
      <selection activeCell="AO17" sqref="AO17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4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>
        <f>VLOOKUP('Round 4'!$A3,INDEX(Entry!$E$2:$U$23,1,'Round 4'!$A$1*2-1):'Entry'!$U$33,18-$A$1*2,0)</f>
        <v>18</v>
      </c>
      <c r="C3" t="str">
        <f>VLOOKUP('Round 4'!$A3,INDEX(Entry!$E$2:$U$23,1,'Round 4'!$A$1*2-1):'Entry'!$U$33,19-$A$1*2,0)</f>
        <v>Matthew Denham</v>
      </c>
      <c r="H3">
        <f>ROUND(IFERROR(AVERAGE(E3:G3),0),2)</f>
        <v>0</v>
      </c>
      <c r="L3">
        <f t="shared" ref="L3:L27" si="0">ROUND(IFERROR(AVERAGE(I3:K3),0),2)</f>
        <v>0</v>
      </c>
      <c r="M3">
        <f t="shared" ref="M3:M27" si="1">MAX(H3,L3)</f>
        <v>0</v>
      </c>
      <c r="N3">
        <f>IF(H3=M3,L3,H3)</f>
        <v>0</v>
      </c>
      <c r="O3">
        <f>IFERROR(M3+N3/1000+((1000-B3)/1000000),0)</f>
        <v>9.8200000000000002E-4</v>
      </c>
      <c r="P3">
        <f>RANK(O3,$O$3:$O$27,0)</f>
        <v>19</v>
      </c>
      <c r="R3">
        <f>B3</f>
        <v>18</v>
      </c>
      <c r="S3" t="str">
        <f>C3</f>
        <v>Matthew Denham</v>
      </c>
      <c r="T3">
        <f>Table271115[[#This Row],[Max]]</f>
        <v>0</v>
      </c>
      <c r="U3">
        <f>Table271115[[#This Row],[Min]]</f>
        <v>0</v>
      </c>
      <c r="X3">
        <f>Table161014[[#This Row],[Column1]]</f>
        <v>1</v>
      </c>
      <c r="Y3">
        <v>1</v>
      </c>
      <c r="Z3">
        <f t="shared" ref="Z3:Z27" si="2">VLOOKUP(Y3,$P$3:$U$27,3,0)</f>
        <v>93</v>
      </c>
      <c r="AA3" t="str">
        <f t="shared" ref="AA3:AA27" si="3">VLOOKUP(Y3,$P$3:$U$27,4,0)</f>
        <v>Josh King</v>
      </c>
      <c r="AB3">
        <f t="shared" ref="AB3:AB27" si="4">VLOOKUP(Y3,$P$3:$U$27,5,0)</f>
        <v>95</v>
      </c>
      <c r="AC3">
        <f t="shared" ref="AC3:AC27" si="5">VLOOKUP(Y3,$P$3:$U$27,6,0)</f>
        <v>93</v>
      </c>
      <c r="AD3">
        <f>VLOOKUP(Table161014[[#This Row],['#]],Table271115[['#]:[Drop]],16,0)</f>
        <v>0</v>
      </c>
      <c r="AE3">
        <f>COUNTIF($AD$3:AD3,"X")</f>
        <v>0</v>
      </c>
      <c r="AF3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</v>
      </c>
      <c r="AG3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3">
        <v>1</v>
      </c>
      <c r="AJ3">
        <f>VLOOKUP(AI3,$X$3:$AA$27,3,0)</f>
        <v>93</v>
      </c>
      <c r="AK3" t="str">
        <f>VLOOKUP(AI3,$X$3:$AA$27,4,0)</f>
        <v>Josh King</v>
      </c>
      <c r="AM3" s="1">
        <v>1</v>
      </c>
      <c r="AN3" s="1">
        <f>VLOOKUP(AM3,$AI$3:$AL$18,2,0)</f>
        <v>93</v>
      </c>
      <c r="AO3" s="1" t="str">
        <f>VLOOKUP(AM3,$AI$3:$AL$18,3,0)</f>
        <v>Josh King</v>
      </c>
    </row>
    <row r="4" spans="1:41" x14ac:dyDescent="0.3">
      <c r="A4">
        <v>2</v>
      </c>
      <c r="B4">
        <f>VLOOKUP('Round 4'!$A4,INDEX(Entry!$E$2:$U$23,1,'Round 4'!$A$1*2-1):'Entry'!$U$33,18-$A$1*2,0)</f>
        <v>26</v>
      </c>
      <c r="C4" t="str">
        <f>VLOOKUP('Round 4'!$A4,INDEX(Entry!$E$2:$U$23,1,'Round 4'!$A$1*2-1):'Entry'!$U$33,19-$A$1*2,0)</f>
        <v>Haydn Cruickshank</v>
      </c>
      <c r="D4" s="6" t="s">
        <v>106</v>
      </c>
      <c r="E4" s="6">
        <v>80</v>
      </c>
      <c r="F4" s="6">
        <v>88</v>
      </c>
      <c r="G4" s="6">
        <v>84</v>
      </c>
      <c r="H4">
        <f t="shared" ref="H4:H27" si="6">ROUND(IFERROR(AVERAGE(E4:G4),0),2)</f>
        <v>84</v>
      </c>
      <c r="I4" s="6">
        <v>80</v>
      </c>
      <c r="J4" s="6">
        <v>85</v>
      </c>
      <c r="K4" s="6">
        <v>84</v>
      </c>
      <c r="L4">
        <f t="shared" si="0"/>
        <v>83</v>
      </c>
      <c r="M4">
        <f t="shared" si="1"/>
        <v>84</v>
      </c>
      <c r="N4">
        <f t="shared" ref="N4:N27" si="7">IF(H4=M4,L4,H4)</f>
        <v>83</v>
      </c>
      <c r="O4">
        <f t="shared" ref="O4:O27" si="8">IFERROR(M4+N4/1000+((1000-B4)/1000000),0)</f>
        <v>84.083973999999998</v>
      </c>
      <c r="P4">
        <f t="shared" ref="P4:P27" si="9">RANK(O4,$O$3:$O$27,0)</f>
        <v>12</v>
      </c>
      <c r="R4">
        <f t="shared" ref="R4:S27" si="10">B4</f>
        <v>26</v>
      </c>
      <c r="S4" t="str">
        <f t="shared" si="10"/>
        <v>Haydn Cruickshank</v>
      </c>
      <c r="T4">
        <f>Table271115[[#This Row],[Max]]</f>
        <v>84</v>
      </c>
      <c r="U4">
        <f>Table271115[[#This Row],[Min]]</f>
        <v>83</v>
      </c>
      <c r="X4">
        <f>Table161014[[#This Row],[Column1]]</f>
        <v>2</v>
      </c>
      <c r="Y4">
        <v>2</v>
      </c>
      <c r="Z4">
        <f t="shared" si="2"/>
        <v>128</v>
      </c>
      <c r="AA4" t="str">
        <f t="shared" si="3"/>
        <v>Lwi Edwards</v>
      </c>
      <c r="AB4">
        <f t="shared" si="4"/>
        <v>94.33</v>
      </c>
      <c r="AC4">
        <f t="shared" si="5"/>
        <v>94</v>
      </c>
      <c r="AD4">
        <f>VLOOKUP(Table161014[[#This Row],['#]],Table271115[['#]:[Drop]],16,0)</f>
        <v>0</v>
      </c>
      <c r="AE4">
        <f>COUNTIF($AD$3:AD4,"X")</f>
        <v>0</v>
      </c>
      <c r="AF4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2</v>
      </c>
      <c r="AG4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4">
        <v>2</v>
      </c>
      <c r="AJ4">
        <f t="shared" ref="AJ4:AJ18" si="11">VLOOKUP(AI4,$X$3:$AA$27,3,0)</f>
        <v>128</v>
      </c>
      <c r="AK4" t="str">
        <f t="shared" ref="AK4:AK18" si="12">VLOOKUP(AI4,$X$3:$AA$27,4,0)</f>
        <v>Lwi Edwards</v>
      </c>
      <c r="AM4" s="1">
        <v>16</v>
      </c>
      <c r="AN4" s="1">
        <f>VLOOKUP(AM4,$AI$3:$AL$18,2,0)</f>
        <v>39</v>
      </c>
      <c r="AO4" s="1" t="str">
        <f>VLOOKUP(AM4,$AI$3:$AL$18,3,0)</f>
        <v>Paul Beechey</v>
      </c>
    </row>
    <row r="5" spans="1:41" x14ac:dyDescent="0.3">
      <c r="A5">
        <v>3</v>
      </c>
      <c r="B5">
        <f>VLOOKUP('Round 4'!$A5,INDEX(Entry!$E$2:$U$23,1,'Round 4'!$A$1*2-1):'Entry'!$U$33,18-$A$1*2,0)</f>
        <v>39</v>
      </c>
      <c r="C5" t="str">
        <f>VLOOKUP('Round 4'!$A5,INDEX(Entry!$E$2:$U$23,1,'Round 4'!$A$1*2-1):'Entry'!$U$33,19-$A$1*2,0)</f>
        <v>Paul Beechey</v>
      </c>
      <c r="D5" s="6" t="s">
        <v>106</v>
      </c>
      <c r="E5" s="6">
        <v>70</v>
      </c>
      <c r="F5" s="6">
        <v>70</v>
      </c>
      <c r="G5" s="6">
        <v>70</v>
      </c>
      <c r="H5">
        <f t="shared" si="6"/>
        <v>70</v>
      </c>
      <c r="I5" s="6">
        <v>50</v>
      </c>
      <c r="J5" s="6">
        <v>50</v>
      </c>
      <c r="K5" s="6">
        <v>55</v>
      </c>
      <c r="L5">
        <f t="shared" si="0"/>
        <v>51.67</v>
      </c>
      <c r="M5">
        <f t="shared" si="1"/>
        <v>70</v>
      </c>
      <c r="N5">
        <f t="shared" si="7"/>
        <v>51.67</v>
      </c>
      <c r="O5">
        <f t="shared" si="8"/>
        <v>70.052631000000005</v>
      </c>
      <c r="P5">
        <f t="shared" si="9"/>
        <v>17</v>
      </c>
      <c r="R5">
        <f t="shared" si="10"/>
        <v>39</v>
      </c>
      <c r="S5" t="str">
        <f t="shared" si="10"/>
        <v>Paul Beechey</v>
      </c>
      <c r="T5">
        <f>Table271115[[#This Row],[Max]]</f>
        <v>70</v>
      </c>
      <c r="U5">
        <f>Table271115[[#This Row],[Min]]</f>
        <v>51.67</v>
      </c>
      <c r="X5">
        <f>Table161014[[#This Row],[Column1]]</f>
        <v>3</v>
      </c>
      <c r="Y5">
        <v>3</v>
      </c>
      <c r="Z5">
        <f t="shared" si="2"/>
        <v>55</v>
      </c>
      <c r="AA5" t="str">
        <f t="shared" si="3"/>
        <v>Oliver Evans</v>
      </c>
      <c r="AB5">
        <f t="shared" si="4"/>
        <v>92</v>
      </c>
      <c r="AC5">
        <f t="shared" si="5"/>
        <v>86.33</v>
      </c>
      <c r="AD5">
        <f>VLOOKUP(Table161014[[#This Row],['#]],Table271115[['#]:[Drop]],16,0)</f>
        <v>0</v>
      </c>
      <c r="AE5">
        <f>COUNTIF($AD$3:AD5,"X")</f>
        <v>0</v>
      </c>
      <c r="AF5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3</v>
      </c>
      <c r="AG5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5">
        <v>3</v>
      </c>
      <c r="AJ5">
        <f t="shared" si="11"/>
        <v>55</v>
      </c>
      <c r="AK5" t="str">
        <f t="shared" si="12"/>
        <v>Oliver Evans</v>
      </c>
    </row>
    <row r="6" spans="1:41" x14ac:dyDescent="0.3">
      <c r="A6">
        <v>4</v>
      </c>
      <c r="B6">
        <f>VLOOKUP('Round 4'!$A6,INDEX(Entry!$E$2:$U$23,1,'Round 4'!$A$1*2-1):'Entry'!$U$33,18-$A$1*2,0)</f>
        <v>41</v>
      </c>
      <c r="C6" t="str">
        <f>VLOOKUP('Round 4'!$A6,INDEX(Entry!$E$2:$U$23,1,'Round 4'!$A$1*2-1):'Entry'!$U$33,19-$A$1*2,0)</f>
        <v>Ian Phillips</v>
      </c>
      <c r="D6" s="6" t="s">
        <v>106</v>
      </c>
      <c r="E6" s="6">
        <v>85</v>
      </c>
      <c r="F6" s="6">
        <v>84</v>
      </c>
      <c r="G6" s="6">
        <v>86</v>
      </c>
      <c r="H6">
        <f t="shared" si="6"/>
        <v>85</v>
      </c>
      <c r="I6" s="6">
        <v>77</v>
      </c>
      <c r="J6" s="6">
        <v>70</v>
      </c>
      <c r="K6" s="6">
        <v>70</v>
      </c>
      <c r="L6">
        <f t="shared" si="0"/>
        <v>72.33</v>
      </c>
      <c r="M6">
        <f t="shared" si="1"/>
        <v>85</v>
      </c>
      <c r="N6">
        <f t="shared" si="7"/>
        <v>72.33</v>
      </c>
      <c r="O6">
        <f t="shared" si="8"/>
        <v>85.073288999999988</v>
      </c>
      <c r="P6">
        <f t="shared" si="9"/>
        <v>11</v>
      </c>
      <c r="R6">
        <f t="shared" si="10"/>
        <v>41</v>
      </c>
      <c r="S6" t="str">
        <f t="shared" si="10"/>
        <v>Ian Phillips</v>
      </c>
      <c r="T6">
        <f>Table271115[[#This Row],[Max]]</f>
        <v>85</v>
      </c>
      <c r="U6">
        <f>Table271115[[#This Row],[Min]]</f>
        <v>72.33</v>
      </c>
      <c r="X6">
        <f>Table161014[[#This Row],[Column1]]</f>
        <v>4</v>
      </c>
      <c r="Y6">
        <v>4</v>
      </c>
      <c r="Z6">
        <f t="shared" si="2"/>
        <v>86</v>
      </c>
      <c r="AA6" t="str">
        <f t="shared" si="3"/>
        <v>David Bastin</v>
      </c>
      <c r="AB6">
        <f t="shared" si="4"/>
        <v>91.67</v>
      </c>
      <c r="AC6">
        <f t="shared" si="5"/>
        <v>91.33</v>
      </c>
      <c r="AD6">
        <f>VLOOKUP(Table161014[[#This Row],['#]],Table271115[['#]:[Drop]],16,0)</f>
        <v>0</v>
      </c>
      <c r="AE6">
        <f>COUNTIF($AD$3:AD6,"X")</f>
        <v>0</v>
      </c>
      <c r="AF6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4</v>
      </c>
      <c r="AG6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6">
        <v>4</v>
      </c>
      <c r="AJ6">
        <f t="shared" si="11"/>
        <v>86</v>
      </c>
      <c r="AK6" t="str">
        <f t="shared" si="12"/>
        <v>David Bastin</v>
      </c>
      <c r="AM6" s="1">
        <v>8</v>
      </c>
      <c r="AN6" s="1">
        <f>VLOOKUP(AM6,$AI$3:$AL$18,2,0)</f>
        <v>20</v>
      </c>
      <c r="AO6" s="1" t="str">
        <f>VLOOKUP(AM6,$AI$3:$AL$18,3,0)</f>
        <v>Ryan Hughes</v>
      </c>
    </row>
    <row r="7" spans="1:41" x14ac:dyDescent="0.3">
      <c r="A7">
        <v>5</v>
      </c>
      <c r="B7">
        <f>VLOOKUP('Round 4'!$A7,INDEX(Entry!$E$2:$U$23,1,'Round 4'!$A$1*2-1):'Entry'!$U$33,18-$A$1*2,0)</f>
        <v>55</v>
      </c>
      <c r="C7" t="str">
        <f>VLOOKUP('Round 4'!$A7,INDEX(Entry!$E$2:$U$23,1,'Round 4'!$A$1*2-1):'Entry'!$U$33,19-$A$1*2,0)</f>
        <v>Oliver Evans</v>
      </c>
      <c r="D7" s="6" t="s">
        <v>106</v>
      </c>
      <c r="E7" s="6">
        <v>86</v>
      </c>
      <c r="F7" s="6">
        <v>86</v>
      </c>
      <c r="G7" s="6">
        <v>87</v>
      </c>
      <c r="H7">
        <f t="shared" si="6"/>
        <v>86.33</v>
      </c>
      <c r="I7" s="6">
        <v>91</v>
      </c>
      <c r="J7" s="6">
        <v>93</v>
      </c>
      <c r="K7" s="6">
        <v>92</v>
      </c>
      <c r="L7">
        <f t="shared" si="0"/>
        <v>92</v>
      </c>
      <c r="M7">
        <f t="shared" si="1"/>
        <v>92</v>
      </c>
      <c r="N7">
        <f t="shared" si="7"/>
        <v>86.33</v>
      </c>
      <c r="O7">
        <f t="shared" si="8"/>
        <v>92.087275000000005</v>
      </c>
      <c r="P7">
        <f t="shared" si="9"/>
        <v>3</v>
      </c>
      <c r="R7">
        <f t="shared" si="10"/>
        <v>55</v>
      </c>
      <c r="S7" t="str">
        <f t="shared" si="10"/>
        <v>Oliver Evans</v>
      </c>
      <c r="T7">
        <f>Table271115[[#This Row],[Max]]</f>
        <v>92</v>
      </c>
      <c r="U7">
        <f>Table271115[[#This Row],[Min]]</f>
        <v>86.33</v>
      </c>
      <c r="X7">
        <f>Table161014[[#This Row],[Column1]]</f>
        <v>5</v>
      </c>
      <c r="Y7">
        <v>5</v>
      </c>
      <c r="Z7">
        <f t="shared" si="2"/>
        <v>265</v>
      </c>
      <c r="AA7" t="str">
        <f t="shared" si="3"/>
        <v>Axel Hildebrand</v>
      </c>
      <c r="AB7">
        <f t="shared" si="4"/>
        <v>90.33</v>
      </c>
      <c r="AC7">
        <f t="shared" si="5"/>
        <v>87.67</v>
      </c>
      <c r="AD7">
        <f>VLOOKUP(Table161014[[#This Row],['#]],Table271115[['#]:[Drop]],16,0)</f>
        <v>0</v>
      </c>
      <c r="AE7">
        <f>COUNTIF($AD$3:AD7,"X")</f>
        <v>0</v>
      </c>
      <c r="AF7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5</v>
      </c>
      <c r="AG7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7">
        <v>5</v>
      </c>
      <c r="AJ7">
        <f t="shared" si="11"/>
        <v>265</v>
      </c>
      <c r="AK7" t="str">
        <f t="shared" si="12"/>
        <v>Axel Hildebrand</v>
      </c>
      <c r="AM7" s="1">
        <v>9</v>
      </c>
      <c r="AN7" s="1">
        <f>VLOOKUP(AM7,$AI$3:$AL$18,2,0)</f>
        <v>56</v>
      </c>
      <c r="AO7" s="1" t="str">
        <f>VLOOKUP(AM7,$AI$3:$AL$18,3,0)</f>
        <v>Jonathan Smith</v>
      </c>
    </row>
    <row r="8" spans="1:41" x14ac:dyDescent="0.3">
      <c r="A8">
        <v>6</v>
      </c>
      <c r="B8">
        <f>VLOOKUP('Round 4'!$A8,INDEX(Entry!$E$2:$U$23,1,'Round 4'!$A$1*2-1):'Entry'!$U$33,18-$A$1*2,0)</f>
        <v>56</v>
      </c>
      <c r="C8" t="str">
        <f>VLOOKUP('Round 4'!$A8,INDEX(Entry!$E$2:$U$23,1,'Round 4'!$A$1*2-1):'Entry'!$U$33,19-$A$1*2,0)</f>
        <v>Jonathan Smith</v>
      </c>
      <c r="D8" s="6" t="s">
        <v>106</v>
      </c>
      <c r="E8" s="6">
        <v>75</v>
      </c>
      <c r="F8" s="6">
        <v>82</v>
      </c>
      <c r="G8" s="6">
        <v>80</v>
      </c>
      <c r="H8">
        <f t="shared" si="6"/>
        <v>79</v>
      </c>
      <c r="I8" s="6">
        <v>86</v>
      </c>
      <c r="J8" s="6">
        <v>89</v>
      </c>
      <c r="K8" s="6">
        <v>87</v>
      </c>
      <c r="L8">
        <f t="shared" si="0"/>
        <v>87.33</v>
      </c>
      <c r="M8">
        <f t="shared" si="1"/>
        <v>87.33</v>
      </c>
      <c r="N8">
        <f t="shared" si="7"/>
        <v>79</v>
      </c>
      <c r="O8">
        <f t="shared" si="8"/>
        <v>87.409943999999996</v>
      </c>
      <c r="P8">
        <f t="shared" si="9"/>
        <v>9</v>
      </c>
      <c r="R8">
        <f t="shared" si="10"/>
        <v>56</v>
      </c>
      <c r="S8" t="str">
        <f t="shared" si="10"/>
        <v>Jonathan Smith</v>
      </c>
      <c r="T8">
        <f>Table271115[[#This Row],[Max]]</f>
        <v>87.33</v>
      </c>
      <c r="U8">
        <f>Table271115[[#This Row],[Min]]</f>
        <v>79</v>
      </c>
      <c r="X8">
        <f>Table161014[[#This Row],[Column1]]</f>
        <v>6</v>
      </c>
      <c r="Y8">
        <v>6</v>
      </c>
      <c r="Z8">
        <f t="shared" si="2"/>
        <v>112</v>
      </c>
      <c r="AA8" t="str">
        <f t="shared" si="3"/>
        <v>Nathan Chivers</v>
      </c>
      <c r="AB8">
        <f t="shared" si="4"/>
        <v>90</v>
      </c>
      <c r="AC8">
        <f t="shared" si="5"/>
        <v>85</v>
      </c>
      <c r="AD8">
        <f>VLOOKUP(Table161014[[#This Row],['#]],Table271115[['#]:[Drop]],16,0)</f>
        <v>0</v>
      </c>
      <c r="AE8">
        <f>COUNTIF($AD$3:AD8,"X")</f>
        <v>0</v>
      </c>
      <c r="AF8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6</v>
      </c>
      <c r="AG8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8">
        <v>6</v>
      </c>
      <c r="AJ8">
        <f t="shared" si="11"/>
        <v>112</v>
      </c>
      <c r="AK8" t="str">
        <f t="shared" si="12"/>
        <v>Nathan Chivers</v>
      </c>
    </row>
    <row r="9" spans="1:41" x14ac:dyDescent="0.3">
      <c r="A9">
        <v>7</v>
      </c>
      <c r="B9">
        <f>VLOOKUP('Round 4'!$A9,INDEX(Entry!$E$2:$U$23,1,'Round 4'!$A$1*2-1):'Entry'!$U$33,18-$A$1*2,0)</f>
        <v>61</v>
      </c>
      <c r="C9" t="str">
        <f>VLOOKUP('Round 4'!$A9,INDEX(Entry!$E$2:$U$23,1,'Round 4'!$A$1*2-1):'Entry'!$U$33,19-$A$1*2,0)</f>
        <v>Martin Richards</v>
      </c>
      <c r="D9" s="6" t="s">
        <v>106</v>
      </c>
      <c r="E9" s="6">
        <v>86</v>
      </c>
      <c r="F9" s="6">
        <v>82</v>
      </c>
      <c r="G9" s="6">
        <v>82</v>
      </c>
      <c r="H9">
        <f t="shared" si="6"/>
        <v>83.33</v>
      </c>
      <c r="I9" s="6">
        <v>90</v>
      </c>
      <c r="J9" s="6">
        <v>90</v>
      </c>
      <c r="K9" s="6">
        <v>86</v>
      </c>
      <c r="L9">
        <f t="shared" si="0"/>
        <v>88.67</v>
      </c>
      <c r="M9">
        <f t="shared" si="1"/>
        <v>88.67</v>
      </c>
      <c r="N9">
        <f t="shared" si="7"/>
        <v>83.33</v>
      </c>
      <c r="O9">
        <f t="shared" si="8"/>
        <v>88.754269000000008</v>
      </c>
      <c r="P9">
        <f t="shared" si="9"/>
        <v>7</v>
      </c>
      <c r="R9">
        <f t="shared" si="10"/>
        <v>61</v>
      </c>
      <c r="S9" t="str">
        <f t="shared" si="10"/>
        <v>Martin Richards</v>
      </c>
      <c r="T9">
        <f>Table271115[[#This Row],[Max]]</f>
        <v>88.67</v>
      </c>
      <c r="U9">
        <f>Table271115[[#This Row],[Min]]</f>
        <v>83.33</v>
      </c>
      <c r="X9">
        <f>Table161014[[#This Row],[Column1]]</f>
        <v>7</v>
      </c>
      <c r="Y9">
        <v>7</v>
      </c>
      <c r="Z9">
        <f t="shared" si="2"/>
        <v>61</v>
      </c>
      <c r="AA9" t="str">
        <f t="shared" si="3"/>
        <v>Martin Richards</v>
      </c>
      <c r="AB9">
        <f t="shared" si="4"/>
        <v>88.67</v>
      </c>
      <c r="AC9">
        <f t="shared" si="5"/>
        <v>83.33</v>
      </c>
      <c r="AD9">
        <f>VLOOKUP(Table161014[[#This Row],['#]],Table271115[['#]:[Drop]],16,0)</f>
        <v>0</v>
      </c>
      <c r="AE9">
        <f>COUNTIF($AD$3:AD9,"X")</f>
        <v>0</v>
      </c>
      <c r="AF9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7</v>
      </c>
      <c r="AG9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9">
        <v>7</v>
      </c>
      <c r="AJ9">
        <f t="shared" si="11"/>
        <v>61</v>
      </c>
      <c r="AK9" t="str">
        <f t="shared" si="12"/>
        <v>Martin Richards</v>
      </c>
      <c r="AM9" s="1">
        <v>4</v>
      </c>
      <c r="AN9" s="1">
        <f>VLOOKUP(AM9,$AI$3:$AL$18,2,0)</f>
        <v>86</v>
      </c>
      <c r="AO9" s="1" t="str">
        <f>VLOOKUP(AM9,$AI$3:$AL$18,3,0)</f>
        <v>David Bastin</v>
      </c>
    </row>
    <row r="10" spans="1:41" x14ac:dyDescent="0.3">
      <c r="A10">
        <v>8</v>
      </c>
      <c r="B10">
        <f>VLOOKUP('Round 4'!$A10,INDEX(Entry!$E$2:$U$23,1,'Round 4'!$A$1*2-1):'Entry'!$U$33,18-$A$1*2,0)</f>
        <v>66</v>
      </c>
      <c r="C10" t="str">
        <f>VLOOKUP('Round 4'!$A10,INDEX(Entry!$E$2:$U$23,1,'Round 4'!$A$1*2-1):'Entry'!$U$33,19-$A$1*2,0)</f>
        <v>Andy Frost</v>
      </c>
      <c r="D10" s="6" t="s">
        <v>106</v>
      </c>
      <c r="E10" s="6">
        <v>87</v>
      </c>
      <c r="F10" s="6">
        <v>86</v>
      </c>
      <c r="G10" s="6">
        <v>83</v>
      </c>
      <c r="H10">
        <f t="shared" si="6"/>
        <v>85.33</v>
      </c>
      <c r="I10" s="6">
        <v>80</v>
      </c>
      <c r="J10" s="6">
        <v>81</v>
      </c>
      <c r="K10" s="6">
        <v>80</v>
      </c>
      <c r="L10">
        <f t="shared" si="0"/>
        <v>80.33</v>
      </c>
      <c r="M10">
        <f t="shared" si="1"/>
        <v>85.33</v>
      </c>
      <c r="N10">
        <f t="shared" si="7"/>
        <v>80.33</v>
      </c>
      <c r="O10">
        <f t="shared" si="8"/>
        <v>85.411264000000003</v>
      </c>
      <c r="P10">
        <f t="shared" si="9"/>
        <v>10</v>
      </c>
      <c r="R10">
        <f t="shared" si="10"/>
        <v>66</v>
      </c>
      <c r="S10" t="str">
        <f t="shared" si="10"/>
        <v>Andy Frost</v>
      </c>
      <c r="T10">
        <f>Table271115[[#This Row],[Max]]</f>
        <v>85.33</v>
      </c>
      <c r="U10">
        <f>Table271115[[#This Row],[Min]]</f>
        <v>80.33</v>
      </c>
      <c r="X10">
        <f>Table161014[[#This Row],[Column1]]</f>
        <v>8</v>
      </c>
      <c r="Y10">
        <v>8</v>
      </c>
      <c r="Z10">
        <f t="shared" si="2"/>
        <v>20</v>
      </c>
      <c r="AA10" t="str">
        <f t="shared" si="3"/>
        <v>Ryan Hughes</v>
      </c>
      <c r="AB10">
        <f t="shared" si="4"/>
        <v>88.33</v>
      </c>
      <c r="AC10">
        <f t="shared" si="5"/>
        <v>83.33</v>
      </c>
      <c r="AD10">
        <f>VLOOKUP(Table161014[[#This Row],['#]],Table271115[['#]:[Drop]],16,0)</f>
        <v>0</v>
      </c>
      <c r="AE10">
        <f>COUNTIF($AD$3:AD10,"X")</f>
        <v>0</v>
      </c>
      <c r="AF10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8</v>
      </c>
      <c r="AG10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0">
        <v>8</v>
      </c>
      <c r="AJ10">
        <f t="shared" si="11"/>
        <v>20</v>
      </c>
      <c r="AK10" t="str">
        <f t="shared" si="12"/>
        <v>Ryan Hughes</v>
      </c>
      <c r="AM10" s="1">
        <v>13</v>
      </c>
      <c r="AN10" s="1">
        <f>VLOOKUP(AM10,$AI$3:$AL$18,2,0)</f>
        <v>420</v>
      </c>
      <c r="AO10" s="1" t="str">
        <f>VLOOKUP(AM10,$AI$3:$AL$18,3,0)</f>
        <v>Harry Love</v>
      </c>
    </row>
    <row r="11" spans="1:41" x14ac:dyDescent="0.3">
      <c r="A11">
        <v>9</v>
      </c>
      <c r="B11">
        <f>VLOOKUP('Round 4'!$A11,INDEX(Entry!$E$2:$U$23,1,'Round 4'!$A$1*2-1):'Entry'!$U$33,18-$A$1*2,0)</f>
        <v>86</v>
      </c>
      <c r="C11" t="str">
        <f>VLOOKUP('Round 4'!$A11,INDEX(Entry!$E$2:$U$23,1,'Round 4'!$A$1*2-1):'Entry'!$U$33,19-$A$1*2,0)</f>
        <v>David Bastin</v>
      </c>
      <c r="D11" s="6" t="s">
        <v>106</v>
      </c>
      <c r="E11" s="6">
        <v>90</v>
      </c>
      <c r="F11" s="6">
        <v>92</v>
      </c>
      <c r="G11" s="6">
        <v>92</v>
      </c>
      <c r="H11">
        <f t="shared" si="6"/>
        <v>91.33</v>
      </c>
      <c r="I11" s="6">
        <v>91</v>
      </c>
      <c r="J11" s="6">
        <v>92</v>
      </c>
      <c r="K11" s="6">
        <v>92</v>
      </c>
      <c r="L11">
        <f t="shared" si="0"/>
        <v>91.67</v>
      </c>
      <c r="M11">
        <f t="shared" si="1"/>
        <v>91.67</v>
      </c>
      <c r="N11">
        <f t="shared" si="7"/>
        <v>91.33</v>
      </c>
      <c r="O11">
        <f t="shared" si="8"/>
        <v>91.762243999999995</v>
      </c>
      <c r="P11">
        <f t="shared" si="9"/>
        <v>4</v>
      </c>
      <c r="R11">
        <f t="shared" si="10"/>
        <v>86</v>
      </c>
      <c r="S11" t="str">
        <f t="shared" si="10"/>
        <v>David Bastin</v>
      </c>
      <c r="T11">
        <f>Table271115[[#This Row],[Max]]</f>
        <v>91.67</v>
      </c>
      <c r="U11">
        <f>Table271115[[#This Row],[Min]]</f>
        <v>91.33</v>
      </c>
      <c r="X11">
        <f>Table161014[[#This Row],[Column1]]</f>
        <v>9</v>
      </c>
      <c r="Y11">
        <v>9</v>
      </c>
      <c r="Z11">
        <f t="shared" si="2"/>
        <v>56</v>
      </c>
      <c r="AA11" t="str">
        <f t="shared" si="3"/>
        <v>Jonathan Smith</v>
      </c>
      <c r="AB11">
        <f t="shared" si="4"/>
        <v>87.33</v>
      </c>
      <c r="AC11">
        <f t="shared" si="5"/>
        <v>79</v>
      </c>
      <c r="AD11">
        <f>VLOOKUP(Table161014[[#This Row],['#]],Table271115[['#]:[Drop]],16,0)</f>
        <v>0</v>
      </c>
      <c r="AE11">
        <f>COUNTIF($AD$3:AD11,"X")</f>
        <v>0</v>
      </c>
      <c r="AF11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9</v>
      </c>
      <c r="AG11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1">
        <v>9</v>
      </c>
      <c r="AJ11">
        <f t="shared" si="11"/>
        <v>56</v>
      </c>
      <c r="AK11" t="str">
        <f t="shared" si="12"/>
        <v>Jonathan Smith</v>
      </c>
    </row>
    <row r="12" spans="1:41" x14ac:dyDescent="0.3">
      <c r="A12">
        <v>10</v>
      </c>
      <c r="B12">
        <f>VLOOKUP('Round 4'!$A12,INDEX(Entry!$E$2:$U$23,1,'Round 4'!$A$1*2-1):'Entry'!$U$33,18-$A$1*2,0)</f>
        <v>93</v>
      </c>
      <c r="C12" t="str">
        <f>VLOOKUP('Round 4'!$A12,INDEX(Entry!$E$2:$U$23,1,'Round 4'!$A$1*2-1):'Entry'!$U$33,19-$A$1*2,0)</f>
        <v>Josh King</v>
      </c>
      <c r="D12" s="6" t="s">
        <v>106</v>
      </c>
      <c r="E12" s="6">
        <v>90</v>
      </c>
      <c r="F12" s="6">
        <v>94</v>
      </c>
      <c r="G12" s="6">
        <v>95</v>
      </c>
      <c r="H12">
        <f t="shared" si="6"/>
        <v>93</v>
      </c>
      <c r="I12" s="6">
        <v>92</v>
      </c>
      <c r="J12" s="6">
        <v>97</v>
      </c>
      <c r="K12" s="6">
        <v>96</v>
      </c>
      <c r="L12">
        <f t="shared" si="0"/>
        <v>95</v>
      </c>
      <c r="M12">
        <f t="shared" si="1"/>
        <v>95</v>
      </c>
      <c r="N12">
        <f t="shared" si="7"/>
        <v>93</v>
      </c>
      <c r="O12">
        <f t="shared" si="8"/>
        <v>95.093907000000002</v>
      </c>
      <c r="P12">
        <f t="shared" si="9"/>
        <v>1</v>
      </c>
      <c r="R12">
        <f t="shared" si="10"/>
        <v>93</v>
      </c>
      <c r="S12" t="str">
        <f t="shared" si="10"/>
        <v>Josh King</v>
      </c>
      <c r="T12">
        <f>Table271115[[#This Row],[Max]]</f>
        <v>95</v>
      </c>
      <c r="U12">
        <f>Table271115[[#This Row],[Min]]</f>
        <v>93</v>
      </c>
      <c r="X12">
        <f>Table161014[[#This Row],[Column1]]</f>
        <v>10</v>
      </c>
      <c r="Y12">
        <v>10</v>
      </c>
      <c r="Z12">
        <f t="shared" si="2"/>
        <v>66</v>
      </c>
      <c r="AA12" t="str">
        <f t="shared" si="3"/>
        <v>Andy Frost</v>
      </c>
      <c r="AB12">
        <f t="shared" si="4"/>
        <v>85.33</v>
      </c>
      <c r="AC12">
        <f t="shared" si="5"/>
        <v>80.33</v>
      </c>
      <c r="AD12">
        <f>VLOOKUP(Table161014[[#This Row],['#]],Table271115[['#]:[Drop]],16,0)</f>
        <v>0</v>
      </c>
      <c r="AE12">
        <f>COUNTIF($AD$3:AD12,"X")</f>
        <v>0</v>
      </c>
      <c r="AF12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10</v>
      </c>
      <c r="AG12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2">
        <v>10</v>
      </c>
      <c r="AJ12">
        <f t="shared" si="11"/>
        <v>66</v>
      </c>
      <c r="AK12" t="str">
        <f t="shared" si="12"/>
        <v>Andy Frost</v>
      </c>
      <c r="AM12" s="1">
        <v>5</v>
      </c>
      <c r="AN12" s="1">
        <f>VLOOKUP(AM12,$AI$3:$AL$18,2,0)</f>
        <v>265</v>
      </c>
      <c r="AO12" s="1" t="str">
        <f>VLOOKUP(AM12,$AI$3:$AL$18,3,0)</f>
        <v>Axel Hildebrand</v>
      </c>
    </row>
    <row r="13" spans="1:41" x14ac:dyDescent="0.3">
      <c r="A13">
        <v>11</v>
      </c>
      <c r="B13">
        <f>VLOOKUP('Round 4'!$A13,INDEX(Entry!$E$2:$U$23,1,'Round 4'!$A$1*2-1):'Entry'!$U$33,18-$A$1*2,0)</f>
        <v>94</v>
      </c>
      <c r="C13" t="str">
        <f>VLOOKUP('Round 4'!$A13,INDEX(Entry!$E$2:$U$23,1,'Round 4'!$A$1*2-1):'Entry'!$U$33,19-$A$1*2,0)</f>
        <v>Paul Cunnington</v>
      </c>
      <c r="D13" s="6" t="s">
        <v>106</v>
      </c>
      <c r="H13">
        <f t="shared" si="6"/>
        <v>0</v>
      </c>
      <c r="L13">
        <f t="shared" si="0"/>
        <v>0</v>
      </c>
      <c r="M13">
        <f t="shared" si="1"/>
        <v>0</v>
      </c>
      <c r="N13">
        <f t="shared" si="7"/>
        <v>0</v>
      </c>
      <c r="O13">
        <f t="shared" si="8"/>
        <v>9.0600000000000001E-4</v>
      </c>
      <c r="P13">
        <f t="shared" si="9"/>
        <v>20</v>
      </c>
      <c r="R13">
        <f t="shared" si="10"/>
        <v>94</v>
      </c>
      <c r="S13" t="str">
        <f t="shared" si="10"/>
        <v>Paul Cunnington</v>
      </c>
      <c r="T13">
        <f>Table271115[[#This Row],[Max]]</f>
        <v>0</v>
      </c>
      <c r="U13">
        <f>Table271115[[#This Row],[Min]]</f>
        <v>0</v>
      </c>
      <c r="X13">
        <f>Table161014[[#This Row],[Column1]]</f>
        <v>11</v>
      </c>
      <c r="Y13">
        <v>11</v>
      </c>
      <c r="Z13">
        <f t="shared" si="2"/>
        <v>41</v>
      </c>
      <c r="AA13" t="str">
        <f t="shared" si="3"/>
        <v>Ian Phillips</v>
      </c>
      <c r="AB13">
        <f t="shared" si="4"/>
        <v>85</v>
      </c>
      <c r="AC13">
        <f t="shared" si="5"/>
        <v>72.33</v>
      </c>
      <c r="AD13">
        <f>VLOOKUP(Table161014[[#This Row],['#]],Table271115[['#]:[Drop]],16,0)</f>
        <v>0</v>
      </c>
      <c r="AE13">
        <f>COUNTIF($AD$3:AD13,"X")</f>
        <v>0</v>
      </c>
      <c r="AF13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11</v>
      </c>
      <c r="AG13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3">
        <v>11</v>
      </c>
      <c r="AJ13">
        <f t="shared" si="11"/>
        <v>41</v>
      </c>
      <c r="AK13" t="str">
        <f t="shared" si="12"/>
        <v>Ian Phillips</v>
      </c>
      <c r="AM13" s="1">
        <v>12</v>
      </c>
      <c r="AN13" s="1">
        <f>VLOOKUP(AM13,$AI$3:$AL$18,2,0)</f>
        <v>26</v>
      </c>
      <c r="AO13" s="1" t="str">
        <f>VLOOKUP(AM13,$AI$3:$AL$18,3,0)</f>
        <v>Haydn Cruickshank</v>
      </c>
    </row>
    <row r="14" spans="1:41" x14ac:dyDescent="0.3">
      <c r="A14">
        <v>12</v>
      </c>
      <c r="B14">
        <f>VLOOKUP('Round 4'!$A14,INDEX(Entry!$E$2:$U$23,1,'Round 4'!$A$1*2-1):'Entry'!$U$33,18-$A$1*2,0)</f>
        <v>112</v>
      </c>
      <c r="C14" t="str">
        <f>VLOOKUP('Round 4'!$A14,INDEX(Entry!$E$2:$U$23,1,'Round 4'!$A$1*2-1):'Entry'!$U$33,19-$A$1*2,0)</f>
        <v>Nathan Chivers</v>
      </c>
      <c r="D14" s="6" t="s">
        <v>106</v>
      </c>
      <c r="E14" s="6">
        <v>90</v>
      </c>
      <c r="F14" s="6">
        <v>90</v>
      </c>
      <c r="G14" s="6">
        <v>90</v>
      </c>
      <c r="H14">
        <f t="shared" si="6"/>
        <v>90</v>
      </c>
      <c r="I14" s="6">
        <v>84</v>
      </c>
      <c r="J14" s="6">
        <v>86</v>
      </c>
      <c r="K14" s="6">
        <v>85</v>
      </c>
      <c r="L14">
        <f t="shared" si="0"/>
        <v>85</v>
      </c>
      <c r="M14">
        <f t="shared" si="1"/>
        <v>90</v>
      </c>
      <c r="N14">
        <f t="shared" si="7"/>
        <v>85</v>
      </c>
      <c r="O14">
        <f t="shared" si="8"/>
        <v>90.085887999999997</v>
      </c>
      <c r="P14">
        <f t="shared" si="9"/>
        <v>6</v>
      </c>
      <c r="R14">
        <f t="shared" si="10"/>
        <v>112</v>
      </c>
      <c r="S14" t="str">
        <f t="shared" si="10"/>
        <v>Nathan Chivers</v>
      </c>
      <c r="T14">
        <f>Table271115[[#This Row],[Max]]</f>
        <v>90</v>
      </c>
      <c r="U14">
        <f>Table271115[[#This Row],[Min]]</f>
        <v>85</v>
      </c>
      <c r="X14">
        <f>Table161014[[#This Row],[Column1]]</f>
        <v>12</v>
      </c>
      <c r="Y14">
        <v>12</v>
      </c>
      <c r="Z14">
        <f t="shared" si="2"/>
        <v>26</v>
      </c>
      <c r="AA14" t="str">
        <f t="shared" si="3"/>
        <v>Haydn Cruickshank</v>
      </c>
      <c r="AB14">
        <f t="shared" si="4"/>
        <v>84</v>
      </c>
      <c r="AC14">
        <f t="shared" si="5"/>
        <v>83</v>
      </c>
      <c r="AD14">
        <f>VLOOKUP(Table161014[[#This Row],['#]],Table271115[['#]:[Drop]],16,0)</f>
        <v>0</v>
      </c>
      <c r="AE14">
        <f>COUNTIF($AD$3:AD14,"X")</f>
        <v>0</v>
      </c>
      <c r="AF14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12</v>
      </c>
      <c r="AG14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4">
        <v>12</v>
      </c>
      <c r="AJ14">
        <f t="shared" si="11"/>
        <v>26</v>
      </c>
      <c r="AK14" t="str">
        <f t="shared" si="12"/>
        <v>Haydn Cruickshank</v>
      </c>
    </row>
    <row r="15" spans="1:41" x14ac:dyDescent="0.3">
      <c r="A15">
        <v>13</v>
      </c>
      <c r="B15">
        <f>VLOOKUP('Round 4'!$A15,INDEX(Entry!$E$2:$U$23,1,'Round 4'!$A$1*2-1):'Entry'!$U$33,18-$A$1*2,0)</f>
        <v>128</v>
      </c>
      <c r="C15" t="str">
        <f>VLOOKUP('Round 4'!$A15,INDEX(Entry!$E$2:$U$23,1,'Round 4'!$A$1*2-1):'Entry'!$U$33,19-$A$1*2,0)</f>
        <v>Lwi Edwards</v>
      </c>
      <c r="D15" s="6" t="s">
        <v>106</v>
      </c>
      <c r="E15" s="6">
        <v>91</v>
      </c>
      <c r="F15" s="6">
        <v>96</v>
      </c>
      <c r="G15" s="6">
        <v>96</v>
      </c>
      <c r="H15">
        <f t="shared" si="6"/>
        <v>94.33</v>
      </c>
      <c r="I15" s="6">
        <v>91</v>
      </c>
      <c r="J15" s="6">
        <v>96</v>
      </c>
      <c r="K15" s="6">
        <v>95</v>
      </c>
      <c r="L15">
        <f t="shared" si="0"/>
        <v>94</v>
      </c>
      <c r="M15">
        <f t="shared" si="1"/>
        <v>94.33</v>
      </c>
      <c r="N15">
        <f t="shared" si="7"/>
        <v>94</v>
      </c>
      <c r="O15">
        <f t="shared" si="8"/>
        <v>94.424871999999993</v>
      </c>
      <c r="P15">
        <f t="shared" si="9"/>
        <v>2</v>
      </c>
      <c r="R15">
        <f t="shared" si="10"/>
        <v>128</v>
      </c>
      <c r="S15" t="str">
        <f t="shared" si="10"/>
        <v>Lwi Edwards</v>
      </c>
      <c r="T15">
        <f>Table271115[[#This Row],[Max]]</f>
        <v>94.33</v>
      </c>
      <c r="U15">
        <f>Table271115[[#This Row],[Min]]</f>
        <v>94</v>
      </c>
      <c r="X15">
        <f>Table161014[[#This Row],[Column1]]</f>
        <v>13</v>
      </c>
      <c r="Y15">
        <v>13</v>
      </c>
      <c r="Z15">
        <f t="shared" si="2"/>
        <v>420</v>
      </c>
      <c r="AA15" t="str">
        <f t="shared" si="3"/>
        <v>Harry Love</v>
      </c>
      <c r="AB15">
        <f t="shared" si="4"/>
        <v>84</v>
      </c>
      <c r="AC15">
        <f t="shared" si="5"/>
        <v>81</v>
      </c>
      <c r="AD15">
        <f>VLOOKUP(Table161014[[#This Row],['#]],Table271115[['#]:[Drop]],16,0)</f>
        <v>0</v>
      </c>
      <c r="AE15">
        <f>COUNTIF($AD$3:AD15,"X")</f>
        <v>0</v>
      </c>
      <c r="AF15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13</v>
      </c>
      <c r="AG15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5">
        <v>13</v>
      </c>
      <c r="AJ15">
        <f t="shared" si="11"/>
        <v>420</v>
      </c>
      <c r="AK15" t="str">
        <f t="shared" si="12"/>
        <v>Harry Love</v>
      </c>
      <c r="AM15" s="1">
        <v>2</v>
      </c>
      <c r="AN15" s="1">
        <f>VLOOKUP(AM15,$AI$3:$AL$18,2,0)</f>
        <v>128</v>
      </c>
      <c r="AO15" s="1" t="str">
        <f>VLOOKUP(AM15,$AI$3:$AL$18,3,0)</f>
        <v>Lwi Edwards</v>
      </c>
    </row>
    <row r="16" spans="1:41" x14ac:dyDescent="0.3">
      <c r="A16">
        <v>14</v>
      </c>
      <c r="B16">
        <f>VLOOKUP('Round 4'!$A16,INDEX(Entry!$E$2:$U$23,1,'Round 4'!$A$1*2-1):'Entry'!$U$33,18-$A$1*2,0)</f>
        <v>147</v>
      </c>
      <c r="C16" t="str">
        <f>VLOOKUP('Round 4'!$A16,INDEX(Entry!$E$2:$U$23,1,'Round 4'!$A$1*2-1):'Entry'!$U$33,19-$A$1*2,0)</f>
        <v>Richie Gilbey</v>
      </c>
      <c r="D16" s="6" t="s">
        <v>106</v>
      </c>
      <c r="E16" s="6">
        <v>1</v>
      </c>
      <c r="F16" s="6">
        <v>0</v>
      </c>
      <c r="G16" s="6">
        <v>0</v>
      </c>
      <c r="H16">
        <f t="shared" si="6"/>
        <v>0.33</v>
      </c>
      <c r="I16" s="6">
        <v>1</v>
      </c>
      <c r="J16" s="6">
        <v>0</v>
      </c>
      <c r="K16" s="6">
        <v>10</v>
      </c>
      <c r="L16">
        <f t="shared" si="0"/>
        <v>3.67</v>
      </c>
      <c r="M16">
        <f t="shared" si="1"/>
        <v>3.67</v>
      </c>
      <c r="N16">
        <f t="shared" si="7"/>
        <v>0.33</v>
      </c>
      <c r="O16">
        <f t="shared" si="8"/>
        <v>3.6711830000000001</v>
      </c>
      <c r="P16">
        <f t="shared" si="9"/>
        <v>18</v>
      </c>
      <c r="R16">
        <f t="shared" si="10"/>
        <v>147</v>
      </c>
      <c r="S16" t="str">
        <f t="shared" si="10"/>
        <v>Richie Gilbey</v>
      </c>
      <c r="T16">
        <f>Table271115[[#This Row],[Max]]</f>
        <v>3.67</v>
      </c>
      <c r="U16">
        <f>Table271115[[#This Row],[Min]]</f>
        <v>0.33</v>
      </c>
      <c r="X16">
        <f>Table161014[[#This Row],[Column1]]</f>
        <v>14</v>
      </c>
      <c r="Y16">
        <v>14</v>
      </c>
      <c r="Z16">
        <f t="shared" si="2"/>
        <v>157</v>
      </c>
      <c r="AA16" t="str">
        <f t="shared" si="3"/>
        <v>George Barclay</v>
      </c>
      <c r="AB16">
        <f t="shared" si="4"/>
        <v>82.67</v>
      </c>
      <c r="AC16">
        <f t="shared" si="5"/>
        <v>80</v>
      </c>
      <c r="AD16">
        <f>VLOOKUP(Table161014[[#This Row],['#]],Table271115[['#]:[Drop]],16,0)</f>
        <v>0</v>
      </c>
      <c r="AE16">
        <f>COUNTIF($AD$3:AD16,"X")</f>
        <v>0</v>
      </c>
      <c r="AF16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14</v>
      </c>
      <c r="AG16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6">
        <v>14</v>
      </c>
      <c r="AJ16">
        <f t="shared" si="11"/>
        <v>157</v>
      </c>
      <c r="AK16" t="str">
        <f t="shared" si="12"/>
        <v>George Barclay</v>
      </c>
      <c r="AM16" s="1">
        <v>15</v>
      </c>
      <c r="AN16" s="1">
        <f>VLOOKUP(AM16,$AI$3:$AL$18,2,0)</f>
        <v>206</v>
      </c>
      <c r="AO16" s="1" t="str">
        <f>VLOOKUP(AM16,$AI$3:$AL$18,3,0)</f>
        <v>Matthew Roberts</v>
      </c>
    </row>
    <row r="17" spans="1:41" x14ac:dyDescent="0.3">
      <c r="A17">
        <v>15</v>
      </c>
      <c r="B17">
        <f>VLOOKUP('Round 4'!$A17,INDEX(Entry!$E$2:$U$23,1,'Round 4'!$A$1*2-1):'Entry'!$U$33,18-$A$1*2,0)</f>
        <v>157</v>
      </c>
      <c r="C17" t="str">
        <f>VLOOKUP('Round 4'!$A17,INDEX(Entry!$E$2:$U$23,1,'Round 4'!$A$1*2-1):'Entry'!$U$33,19-$A$1*2,0)</f>
        <v>George Barclay</v>
      </c>
      <c r="D17" s="6" t="s">
        <v>106</v>
      </c>
      <c r="E17" s="6">
        <v>79</v>
      </c>
      <c r="F17" s="6">
        <v>80</v>
      </c>
      <c r="G17" s="6">
        <v>81</v>
      </c>
      <c r="H17">
        <f t="shared" si="6"/>
        <v>80</v>
      </c>
      <c r="I17" s="6">
        <v>84</v>
      </c>
      <c r="J17" s="6">
        <v>82</v>
      </c>
      <c r="K17" s="6">
        <v>82</v>
      </c>
      <c r="L17">
        <f t="shared" si="0"/>
        <v>82.67</v>
      </c>
      <c r="M17">
        <f t="shared" si="1"/>
        <v>82.67</v>
      </c>
      <c r="N17">
        <f t="shared" si="7"/>
        <v>80</v>
      </c>
      <c r="O17">
        <f t="shared" si="8"/>
        <v>82.750843000000003</v>
      </c>
      <c r="P17">
        <f t="shared" si="9"/>
        <v>14</v>
      </c>
      <c r="R17">
        <f t="shared" si="10"/>
        <v>157</v>
      </c>
      <c r="S17" t="str">
        <f t="shared" si="10"/>
        <v>George Barclay</v>
      </c>
      <c r="T17">
        <f>Table271115[[#This Row],[Max]]</f>
        <v>82.67</v>
      </c>
      <c r="U17">
        <f>Table271115[[#This Row],[Min]]</f>
        <v>80</v>
      </c>
      <c r="X17">
        <f>Table161014[[#This Row],[Column1]]</f>
        <v>17</v>
      </c>
      <c r="Y17">
        <v>15</v>
      </c>
      <c r="Z17">
        <f t="shared" si="2"/>
        <v>353</v>
      </c>
      <c r="AA17" t="str">
        <f t="shared" si="3"/>
        <v>Liam Lawrence</v>
      </c>
      <c r="AB17">
        <f t="shared" si="4"/>
        <v>80.33</v>
      </c>
      <c r="AC17">
        <f t="shared" si="5"/>
        <v>53.33</v>
      </c>
      <c r="AD17" t="str">
        <f>VLOOKUP(Table161014[[#This Row],['#]],Table271115[['#]:[Drop]],16,0)</f>
        <v>X</v>
      </c>
      <c r="AE17">
        <f>COUNTIF($AD$3:AD17,"X")</f>
        <v>1</v>
      </c>
      <c r="AF17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17</v>
      </c>
      <c r="AG17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10</v>
      </c>
      <c r="AI17">
        <v>15</v>
      </c>
      <c r="AJ17">
        <f t="shared" si="11"/>
        <v>206</v>
      </c>
      <c r="AK17" t="str">
        <f t="shared" si="12"/>
        <v>Matthew Roberts</v>
      </c>
    </row>
    <row r="18" spans="1:41" x14ac:dyDescent="0.3">
      <c r="A18">
        <v>16</v>
      </c>
      <c r="B18">
        <f>VLOOKUP('Round 4'!$A18,INDEX(Entry!$E$2:$U$23,1,'Round 4'!$A$1*2-1):'Entry'!$U$33,18-$A$1*2,0)</f>
        <v>265</v>
      </c>
      <c r="C18" t="str">
        <f>VLOOKUP('Round 4'!$A18,INDEX(Entry!$E$2:$U$23,1,'Round 4'!$A$1*2-1):'Entry'!$U$33,19-$A$1*2,0)</f>
        <v>Axel Hildebrand</v>
      </c>
      <c r="D18" s="6" t="s">
        <v>106</v>
      </c>
      <c r="E18" s="6">
        <v>86</v>
      </c>
      <c r="F18" s="6">
        <v>89</v>
      </c>
      <c r="G18" s="6">
        <v>88</v>
      </c>
      <c r="H18">
        <f t="shared" si="6"/>
        <v>87.67</v>
      </c>
      <c r="I18" s="6">
        <v>89</v>
      </c>
      <c r="J18" s="6">
        <v>92</v>
      </c>
      <c r="K18" s="6">
        <v>90</v>
      </c>
      <c r="L18">
        <f t="shared" si="0"/>
        <v>90.33</v>
      </c>
      <c r="M18">
        <f t="shared" si="1"/>
        <v>90.33</v>
      </c>
      <c r="N18">
        <f t="shared" si="7"/>
        <v>87.67</v>
      </c>
      <c r="O18">
        <f t="shared" si="8"/>
        <v>90.418405000000007</v>
      </c>
      <c r="P18">
        <f t="shared" si="9"/>
        <v>5</v>
      </c>
      <c r="R18">
        <f t="shared" si="10"/>
        <v>265</v>
      </c>
      <c r="S18" t="str">
        <f t="shared" si="10"/>
        <v>Axel Hildebrand</v>
      </c>
      <c r="T18">
        <f>Table271115[[#This Row],[Max]]</f>
        <v>90.33</v>
      </c>
      <c r="U18">
        <f>Table271115[[#This Row],[Min]]</f>
        <v>87.67</v>
      </c>
      <c r="X18">
        <f>Table161014[[#This Row],[Column1]]</f>
        <v>15</v>
      </c>
      <c r="Y18">
        <v>16</v>
      </c>
      <c r="Z18">
        <f t="shared" si="2"/>
        <v>206</v>
      </c>
      <c r="AA18" t="str">
        <f t="shared" si="3"/>
        <v>Matthew Roberts</v>
      </c>
      <c r="AB18">
        <f t="shared" si="4"/>
        <v>74.33</v>
      </c>
      <c r="AC18">
        <f t="shared" si="5"/>
        <v>6.67</v>
      </c>
      <c r="AD18">
        <f>VLOOKUP(Table161014[[#This Row],['#]],Table271115[['#]:[Drop]],16,0)</f>
        <v>0</v>
      </c>
      <c r="AE18">
        <f>COUNTIF($AD$3:AD18,"X")</f>
        <v>1</v>
      </c>
      <c r="AF18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15</v>
      </c>
      <c r="AG18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I18">
        <v>16</v>
      </c>
      <c r="AJ18">
        <f t="shared" si="11"/>
        <v>39</v>
      </c>
      <c r="AK18" t="str">
        <f t="shared" si="12"/>
        <v>Paul Beechey</v>
      </c>
      <c r="AM18" s="1">
        <v>7</v>
      </c>
      <c r="AN18" s="1">
        <f>VLOOKUP(AM18,$AI$3:$AL$18,2,0)</f>
        <v>61</v>
      </c>
      <c r="AO18" s="1" t="str">
        <f>VLOOKUP(AM18,$AI$3:$AL$18,3,0)</f>
        <v>Martin Richards</v>
      </c>
    </row>
    <row r="19" spans="1:41" x14ac:dyDescent="0.3">
      <c r="A19">
        <v>17</v>
      </c>
      <c r="B19">
        <f>VLOOKUP('Round 4'!$A19,INDEX(Entry!$E$2:$U$23,1,'Round 4'!$A$1*2-1):'Entry'!$U$33,18-$A$1*2,0)</f>
        <v>353</v>
      </c>
      <c r="C19" t="str">
        <f>VLOOKUP('Round 4'!$A19,INDEX(Entry!$E$2:$U$23,1,'Round 4'!$A$1*2-1):'Entry'!$U$33,19-$A$1*2,0)</f>
        <v>Liam Lawrence</v>
      </c>
      <c r="D19" s="6" t="s">
        <v>106</v>
      </c>
      <c r="E19" s="6">
        <v>60</v>
      </c>
      <c r="F19" s="6">
        <v>50</v>
      </c>
      <c r="G19" s="6">
        <v>50</v>
      </c>
      <c r="H19">
        <f t="shared" si="6"/>
        <v>53.33</v>
      </c>
      <c r="I19" s="6">
        <v>83</v>
      </c>
      <c r="J19" s="6">
        <v>78</v>
      </c>
      <c r="K19" s="6">
        <v>80</v>
      </c>
      <c r="L19">
        <f t="shared" si="0"/>
        <v>80.33</v>
      </c>
      <c r="M19">
        <f t="shared" si="1"/>
        <v>80.33</v>
      </c>
      <c r="N19">
        <f t="shared" si="7"/>
        <v>53.33</v>
      </c>
      <c r="O19">
        <f t="shared" si="8"/>
        <v>80.383977000000002</v>
      </c>
      <c r="P19">
        <f t="shared" si="9"/>
        <v>15</v>
      </c>
      <c r="Q19" s="6" t="s">
        <v>106</v>
      </c>
      <c r="R19">
        <f t="shared" si="10"/>
        <v>353</v>
      </c>
      <c r="S19" t="str">
        <f t="shared" si="10"/>
        <v>Liam Lawrence</v>
      </c>
      <c r="T19">
        <f>Table271115[[#This Row],[Max]]</f>
        <v>80.33</v>
      </c>
      <c r="U19">
        <f>Table271115[[#This Row],[Min]]</f>
        <v>53.33</v>
      </c>
      <c r="X19">
        <f>Table161014[[#This Row],[Column1]]</f>
        <v>16</v>
      </c>
      <c r="Y19">
        <v>17</v>
      </c>
      <c r="Z19">
        <f t="shared" si="2"/>
        <v>39</v>
      </c>
      <c r="AA19" t="str">
        <f t="shared" si="3"/>
        <v>Paul Beechey</v>
      </c>
      <c r="AB19">
        <f t="shared" si="4"/>
        <v>70</v>
      </c>
      <c r="AC19">
        <f t="shared" si="5"/>
        <v>51.67</v>
      </c>
      <c r="AD19">
        <f>VLOOKUP(Table161014[[#This Row],['#]],Table271115[['#]:[Drop]],16,0)</f>
        <v>0</v>
      </c>
      <c r="AE19">
        <f>COUNTIF($AD$3:AD19,"X")</f>
        <v>1</v>
      </c>
      <c r="AF19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16</v>
      </c>
      <c r="AG19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  <c r="AM19" s="1">
        <v>10</v>
      </c>
      <c r="AN19" s="1">
        <f>VLOOKUP(AM19,$AI$3:$AL$18,2,0)</f>
        <v>66</v>
      </c>
      <c r="AO19" s="1" t="str">
        <f>VLOOKUP(AM19,$AI$3:$AL$18,3,0)</f>
        <v>Andy Frost</v>
      </c>
    </row>
    <row r="20" spans="1:41" x14ac:dyDescent="0.3">
      <c r="A20">
        <v>18</v>
      </c>
      <c r="B20">
        <f>VLOOKUP('Round 4'!$A20,INDEX(Entry!$E$2:$U$23,1,'Round 4'!$A$1*2-1):'Entry'!$U$33,18-$A$1*2,0)</f>
        <v>420</v>
      </c>
      <c r="C20" t="str">
        <f>VLOOKUP('Round 4'!$A20,INDEX(Entry!$E$2:$U$23,1,'Round 4'!$A$1*2-1):'Entry'!$U$33,19-$A$1*2,0)</f>
        <v>Harry Love</v>
      </c>
      <c r="D20" s="6" t="s">
        <v>106</v>
      </c>
      <c r="E20" s="6">
        <v>80</v>
      </c>
      <c r="F20" s="6">
        <v>83</v>
      </c>
      <c r="G20" s="6">
        <v>80</v>
      </c>
      <c r="H20">
        <f t="shared" si="6"/>
        <v>81</v>
      </c>
      <c r="I20" s="6">
        <v>85</v>
      </c>
      <c r="J20" s="6">
        <v>84</v>
      </c>
      <c r="K20" s="6">
        <v>83</v>
      </c>
      <c r="L20">
        <f t="shared" si="0"/>
        <v>84</v>
      </c>
      <c r="M20">
        <f t="shared" si="1"/>
        <v>84</v>
      </c>
      <c r="N20">
        <f t="shared" si="7"/>
        <v>81</v>
      </c>
      <c r="O20">
        <f t="shared" si="8"/>
        <v>84.081580000000002</v>
      </c>
      <c r="P20">
        <f t="shared" si="9"/>
        <v>13</v>
      </c>
      <c r="R20">
        <f t="shared" si="10"/>
        <v>420</v>
      </c>
      <c r="S20" t="str">
        <f t="shared" si="10"/>
        <v>Harry Love</v>
      </c>
      <c r="T20">
        <f>Table271115[[#This Row],[Max]]</f>
        <v>84</v>
      </c>
      <c r="U20">
        <f>Table271115[[#This Row],[Min]]</f>
        <v>81</v>
      </c>
      <c r="X20">
        <f>Table161014[[#This Row],[Column1]]</f>
        <v>18</v>
      </c>
      <c r="Y20">
        <v>18</v>
      </c>
      <c r="Z20">
        <f t="shared" si="2"/>
        <v>147</v>
      </c>
      <c r="AA20" t="str">
        <f t="shared" si="3"/>
        <v>Richie Gilbey</v>
      </c>
      <c r="AB20">
        <f t="shared" si="4"/>
        <v>3.67</v>
      </c>
      <c r="AC20">
        <f t="shared" si="5"/>
        <v>0.33</v>
      </c>
      <c r="AD20">
        <f>VLOOKUP(Table161014[[#This Row],['#]],Table271115[['#]:[Drop]],16,0)</f>
        <v>0</v>
      </c>
      <c r="AE20">
        <f>COUNTIF($AD$3:AD20,"X")</f>
        <v>1</v>
      </c>
      <c r="AF20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18</v>
      </c>
      <c r="AG20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5</v>
      </c>
    </row>
    <row r="21" spans="1:41" x14ac:dyDescent="0.3">
      <c r="A21">
        <v>19</v>
      </c>
      <c r="B21">
        <f>VLOOKUP('Round 4'!$A21,INDEX(Entry!$E$2:$U$23,1,'Round 4'!$A$1*2-1):'Entry'!$U$33,18-$A$1*2,0)</f>
        <v>20</v>
      </c>
      <c r="C21" t="str">
        <f>VLOOKUP('Round 4'!$A21,INDEX(Entry!$E$2:$U$23,1,'Round 4'!$A$1*2-1):'Entry'!$U$33,19-$A$1*2,0)</f>
        <v>Ryan Hughes</v>
      </c>
      <c r="D21" s="6" t="s">
        <v>106</v>
      </c>
      <c r="E21" s="6">
        <v>88</v>
      </c>
      <c r="F21" s="6">
        <v>88</v>
      </c>
      <c r="G21" s="6">
        <v>89</v>
      </c>
      <c r="H21">
        <f t="shared" si="6"/>
        <v>88.33</v>
      </c>
      <c r="I21" s="6">
        <v>84</v>
      </c>
      <c r="J21" s="6">
        <v>82</v>
      </c>
      <c r="K21" s="6">
        <v>84</v>
      </c>
      <c r="L21">
        <f t="shared" si="0"/>
        <v>83.33</v>
      </c>
      <c r="M21">
        <f t="shared" si="1"/>
        <v>88.33</v>
      </c>
      <c r="N21">
        <f t="shared" si="7"/>
        <v>83.33</v>
      </c>
      <c r="O21">
        <f t="shared" si="8"/>
        <v>88.41431</v>
      </c>
      <c r="P21">
        <f t="shared" si="9"/>
        <v>8</v>
      </c>
      <c r="R21">
        <f t="shared" si="10"/>
        <v>20</v>
      </c>
      <c r="S21" t="str">
        <f t="shared" si="10"/>
        <v>Ryan Hughes</v>
      </c>
      <c r="T21">
        <f>Table271115[[#This Row],[Max]]</f>
        <v>88.33</v>
      </c>
      <c r="U21">
        <f>Table271115[[#This Row],[Min]]</f>
        <v>83.33</v>
      </c>
      <c r="X21">
        <f>Table161014[[#This Row],[Column1]]</f>
        <v>19</v>
      </c>
      <c r="Y21">
        <v>19</v>
      </c>
      <c r="Z21">
        <f t="shared" si="2"/>
        <v>18</v>
      </c>
      <c r="AA21" t="str">
        <f t="shared" si="3"/>
        <v>Matthew Denham</v>
      </c>
      <c r="AB21">
        <f t="shared" si="4"/>
        <v>0</v>
      </c>
      <c r="AC21">
        <f t="shared" si="5"/>
        <v>0</v>
      </c>
      <c r="AD21">
        <f>VLOOKUP(Table161014[[#This Row],['#]],Table271115[['#]:[Drop]],16,0)</f>
        <v>0</v>
      </c>
      <c r="AE21">
        <f>COUNTIF($AD$3:AD21,"X")</f>
        <v>1</v>
      </c>
      <c r="AF21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19</v>
      </c>
      <c r="AG21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0</v>
      </c>
      <c r="AM21" s="1">
        <v>3</v>
      </c>
      <c r="AN21" s="1">
        <f>VLOOKUP(AM21,$AI$3:$AL$18,2,0)</f>
        <v>55</v>
      </c>
      <c r="AO21" s="1" t="str">
        <f>VLOOKUP(AM21,$AI$3:$AL$18,3,0)</f>
        <v>Oliver Evans</v>
      </c>
    </row>
    <row r="22" spans="1:41" x14ac:dyDescent="0.3">
      <c r="A22">
        <v>20</v>
      </c>
      <c r="B22">
        <f>VLOOKUP('Round 4'!$A22,INDEX(Entry!$E$2:$U$23,1,'Round 4'!$A$1*2-1):'Entry'!$U$33,18-$A$1*2,0)</f>
        <v>206</v>
      </c>
      <c r="C22" t="str">
        <f>VLOOKUP('Round 4'!$A22,INDEX(Entry!$E$2:$U$23,1,'Round 4'!$A$1*2-1):'Entry'!$U$33,19-$A$1*2,0)</f>
        <v>Matthew Roberts</v>
      </c>
      <c r="D22" s="6" t="s">
        <v>106</v>
      </c>
      <c r="E22" s="6">
        <v>75</v>
      </c>
      <c r="F22" s="6">
        <v>70</v>
      </c>
      <c r="G22" s="6">
        <v>78</v>
      </c>
      <c r="H22">
        <f t="shared" si="6"/>
        <v>74.33</v>
      </c>
      <c r="I22" s="6">
        <v>20</v>
      </c>
      <c r="J22" s="6">
        <v>0</v>
      </c>
      <c r="K22" s="6">
        <v>0</v>
      </c>
      <c r="L22">
        <f t="shared" si="0"/>
        <v>6.67</v>
      </c>
      <c r="M22">
        <f t="shared" si="1"/>
        <v>74.33</v>
      </c>
      <c r="N22">
        <f t="shared" si="7"/>
        <v>6.67</v>
      </c>
      <c r="O22">
        <f t="shared" si="8"/>
        <v>74.337463999999997</v>
      </c>
      <c r="P22">
        <f t="shared" si="9"/>
        <v>16</v>
      </c>
      <c r="R22">
        <f t="shared" si="10"/>
        <v>206</v>
      </c>
      <c r="S22" t="str">
        <f t="shared" si="10"/>
        <v>Matthew Roberts</v>
      </c>
      <c r="T22">
        <f>Table271115[[#This Row],[Max]]</f>
        <v>74.33</v>
      </c>
      <c r="U22">
        <f>Table271115[[#This Row],[Min]]</f>
        <v>6.67</v>
      </c>
      <c r="X22">
        <f>Table161014[[#This Row],[Column1]]</f>
        <v>20</v>
      </c>
      <c r="Y22">
        <v>20</v>
      </c>
      <c r="Z22">
        <f t="shared" si="2"/>
        <v>94</v>
      </c>
      <c r="AA22" t="str">
        <f t="shared" si="3"/>
        <v>Paul Cunnington</v>
      </c>
      <c r="AB22">
        <f t="shared" si="4"/>
        <v>0</v>
      </c>
      <c r="AC22">
        <f t="shared" si="5"/>
        <v>0</v>
      </c>
      <c r="AD22">
        <f>VLOOKUP(Table161014[[#This Row],['#]],Table271115[['#]:[Drop]],16,0)</f>
        <v>0</v>
      </c>
      <c r="AE22">
        <f>COUNTIF($AD$3:AD22,"X")</f>
        <v>1</v>
      </c>
      <c r="AF22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20</v>
      </c>
      <c r="AG22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1</v>
      </c>
      <c r="AM22" s="1">
        <v>14</v>
      </c>
      <c r="AN22" s="1">
        <f>VLOOKUP(AM22,$AI$3:$AL$18,2,0)</f>
        <v>157</v>
      </c>
      <c r="AO22" s="1" t="str">
        <f>VLOOKUP(AM22,$AI$3:$AL$18,3,0)</f>
        <v>George Barclay</v>
      </c>
    </row>
    <row r="23" spans="1:41" x14ac:dyDescent="0.3">
      <c r="A23">
        <v>21</v>
      </c>
      <c r="B23" t="e">
        <f>VLOOKUP('Round 4'!$A23,INDEX(Entry!$E$2:$U$23,1,'Round 4'!$A$1*2-1):'Entry'!$U$33,18-$A$1*2,0)</f>
        <v>#N/A</v>
      </c>
      <c r="C23" t="e">
        <f>VLOOKUP('Round 4'!$A23,INDEX(Entry!$E$2:$U$23,1,'Round 4'!$A$1*2-1):'Entry'!$U$33,19-$A$1*2,0)</f>
        <v>#N/A</v>
      </c>
      <c r="H23">
        <f t="shared" si="6"/>
        <v>0</v>
      </c>
      <c r="L23">
        <f t="shared" si="0"/>
        <v>0</v>
      </c>
      <c r="M23">
        <f t="shared" si="1"/>
        <v>0</v>
      </c>
      <c r="N23">
        <f t="shared" si="7"/>
        <v>0</v>
      </c>
      <c r="O23">
        <f t="shared" si="8"/>
        <v>0</v>
      </c>
      <c r="P23">
        <f t="shared" si="9"/>
        <v>21</v>
      </c>
      <c r="R23" t="e">
        <f t="shared" si="10"/>
        <v>#N/A</v>
      </c>
      <c r="S23" t="e">
        <f t="shared" si="10"/>
        <v>#N/A</v>
      </c>
      <c r="T23">
        <f>Table271115[[#This Row],[Max]]</f>
        <v>0</v>
      </c>
      <c r="U23">
        <f>Table271115[[#This Row],[Min]]</f>
        <v>0</v>
      </c>
      <c r="X23" t="e">
        <f>Table161014[[#This Row],[Column1]]</f>
        <v>#N/A</v>
      </c>
      <c r="Y23">
        <v>21</v>
      </c>
      <c r="Z23" t="e">
        <f t="shared" si="2"/>
        <v>#N/A</v>
      </c>
      <c r="AA23" t="e">
        <f t="shared" si="3"/>
        <v>#N/A</v>
      </c>
      <c r="AB23">
        <f t="shared" si="4"/>
        <v>0</v>
      </c>
      <c r="AC23">
        <f t="shared" si="5"/>
        <v>0</v>
      </c>
      <c r="AD23" t="e">
        <f>VLOOKUP(Table161014[[#This Row],['#]],Table271115[['#]:[Drop]],16,0)</f>
        <v>#N/A</v>
      </c>
      <c r="AE23">
        <f>COUNTIF($AD$3:AD23,"X")</f>
        <v>1</v>
      </c>
      <c r="AF23" t="e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#N/A</v>
      </c>
      <c r="AG23" t="e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#N/A</v>
      </c>
    </row>
    <row r="24" spans="1:41" x14ac:dyDescent="0.3">
      <c r="A24">
        <v>22</v>
      </c>
      <c r="B24" t="e">
        <f>VLOOKUP('Round 4'!$A24,INDEX(Entry!$E$2:$U$23,1,'Round 4'!$A$1*2-1):'Entry'!$U$33,18-$A$1*2,0)</f>
        <v>#N/A</v>
      </c>
      <c r="C24" t="e">
        <f>VLOOKUP('Round 4'!$A24,INDEX(Entry!$E$2:$U$23,1,'Round 4'!$A$1*2-1):'Entry'!$U$33,19-$A$1*2,0)</f>
        <v>#N/A</v>
      </c>
      <c r="H24">
        <f t="shared" si="6"/>
        <v>0</v>
      </c>
      <c r="L24">
        <f t="shared" si="0"/>
        <v>0</v>
      </c>
      <c r="M24">
        <f t="shared" si="1"/>
        <v>0</v>
      </c>
      <c r="N24">
        <f t="shared" si="7"/>
        <v>0</v>
      </c>
      <c r="O24">
        <f t="shared" si="8"/>
        <v>0</v>
      </c>
      <c r="P24">
        <f t="shared" si="9"/>
        <v>21</v>
      </c>
      <c r="R24" t="e">
        <f t="shared" si="10"/>
        <v>#N/A</v>
      </c>
      <c r="S24" t="e">
        <f t="shared" si="10"/>
        <v>#N/A</v>
      </c>
      <c r="T24">
        <f>Table271115[[#This Row],[Max]]</f>
        <v>0</v>
      </c>
      <c r="U24">
        <f>Table271115[[#This Row],[Min]]</f>
        <v>0</v>
      </c>
      <c r="X24" t="e">
        <f>Table161014[[#This Row],[Column1]]</f>
        <v>#N/A</v>
      </c>
      <c r="Y24">
        <v>22</v>
      </c>
      <c r="Z24" t="e">
        <f t="shared" si="2"/>
        <v>#N/A</v>
      </c>
      <c r="AA24" t="e">
        <f t="shared" si="3"/>
        <v>#N/A</v>
      </c>
      <c r="AB24" t="e">
        <f t="shared" si="4"/>
        <v>#N/A</v>
      </c>
      <c r="AC24" t="e">
        <f t="shared" si="5"/>
        <v>#N/A</v>
      </c>
      <c r="AD24" t="e">
        <f>VLOOKUP(Table161014[[#This Row],['#]],Table271115[['#]:[Drop]],16,0)</f>
        <v>#N/A</v>
      </c>
      <c r="AE24">
        <f>COUNTIF($AD$3:AD24,"X")</f>
        <v>1</v>
      </c>
      <c r="AF24" t="e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#N/A</v>
      </c>
      <c r="AG24" t="e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#N/A</v>
      </c>
      <c r="AM24" s="1">
        <v>6</v>
      </c>
      <c r="AN24" s="1">
        <f>VLOOKUP(AM24,$AI$3:$AL$18,2,0)</f>
        <v>112</v>
      </c>
      <c r="AO24" s="1" t="str">
        <f>VLOOKUP(AM24,$AI$3:$AL$18,3,0)</f>
        <v>Nathan Chivers</v>
      </c>
    </row>
    <row r="25" spans="1:41" x14ac:dyDescent="0.3">
      <c r="A25">
        <v>23</v>
      </c>
      <c r="B25" t="e">
        <f>VLOOKUP('Round 4'!$A25,INDEX(Entry!$E$2:$U$23,1,'Round 4'!$A$1*2-1):'Entry'!$U$33,18-$A$1*2,0)</f>
        <v>#N/A</v>
      </c>
      <c r="C25" t="e">
        <f>VLOOKUP('Round 4'!$A25,INDEX(Entry!$E$2:$U$23,1,'Round 4'!$A$1*2-1):'Entry'!$U$33,19-$A$1*2,0)</f>
        <v>#N/A</v>
      </c>
      <c r="H25">
        <f t="shared" si="6"/>
        <v>0</v>
      </c>
      <c r="L25">
        <f t="shared" si="0"/>
        <v>0</v>
      </c>
      <c r="M25">
        <f t="shared" si="1"/>
        <v>0</v>
      </c>
      <c r="N25">
        <f t="shared" si="7"/>
        <v>0</v>
      </c>
      <c r="O25">
        <f t="shared" si="8"/>
        <v>0</v>
      </c>
      <c r="P25">
        <f t="shared" si="9"/>
        <v>21</v>
      </c>
      <c r="R25" t="e">
        <f t="shared" si="10"/>
        <v>#N/A</v>
      </c>
      <c r="S25" t="e">
        <f t="shared" si="10"/>
        <v>#N/A</v>
      </c>
      <c r="T25">
        <f>Table271115[[#This Row],[Max]]</f>
        <v>0</v>
      </c>
      <c r="U25">
        <f>Table271115[[#This Row],[Min]]</f>
        <v>0</v>
      </c>
      <c r="X25" t="e">
        <f>Table161014[[#This Row],[Column1]]</f>
        <v>#N/A</v>
      </c>
      <c r="Y25">
        <v>23</v>
      </c>
      <c r="Z25" t="e">
        <f t="shared" si="2"/>
        <v>#N/A</v>
      </c>
      <c r="AA25" t="e">
        <f t="shared" si="3"/>
        <v>#N/A</v>
      </c>
      <c r="AB25" t="e">
        <f t="shared" si="4"/>
        <v>#N/A</v>
      </c>
      <c r="AC25" t="e">
        <f t="shared" si="5"/>
        <v>#N/A</v>
      </c>
      <c r="AD25" t="e">
        <f>VLOOKUP(Table161014[[#This Row],['#]],Table271115[['#]:[Drop]],16,0)</f>
        <v>#N/A</v>
      </c>
      <c r="AE25">
        <f>COUNTIF($AD$3:AD25,"X")</f>
        <v>1</v>
      </c>
      <c r="AF25" t="e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#N/A</v>
      </c>
      <c r="AG25" t="e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#N/A</v>
      </c>
      <c r="AM25" s="1">
        <v>11</v>
      </c>
      <c r="AN25" s="1">
        <f>VLOOKUP(AM25,$AI$3:$AL$18,2,0)</f>
        <v>41</v>
      </c>
      <c r="AO25" s="1" t="str">
        <f>VLOOKUP(AM25,$AI$3:$AL$18,3,0)</f>
        <v>Ian Phillips</v>
      </c>
    </row>
    <row r="26" spans="1:41" x14ac:dyDescent="0.3">
      <c r="A26">
        <v>24</v>
      </c>
      <c r="B26" t="e">
        <f>VLOOKUP('Round 4'!$A26,INDEX(Entry!$E$2:$U$23,1,'Round 4'!$A$1*2-1):'Entry'!$U$33,18-$A$1*2,0)</f>
        <v>#N/A</v>
      </c>
      <c r="C26" t="e">
        <f>VLOOKUP('Round 4'!$A26,INDEX(Entry!$E$2:$U$23,1,'Round 4'!$A$1*2-1):'Entry'!$U$33,19-$A$1*2,0)</f>
        <v>#N/A</v>
      </c>
      <c r="H26">
        <f t="shared" si="6"/>
        <v>0</v>
      </c>
      <c r="L26">
        <f t="shared" si="0"/>
        <v>0</v>
      </c>
      <c r="M26">
        <f t="shared" si="1"/>
        <v>0</v>
      </c>
      <c r="N26">
        <f t="shared" si="7"/>
        <v>0</v>
      </c>
      <c r="O26">
        <f t="shared" si="8"/>
        <v>0</v>
      </c>
      <c r="P26">
        <f t="shared" si="9"/>
        <v>21</v>
      </c>
      <c r="R26" t="e">
        <f t="shared" si="10"/>
        <v>#N/A</v>
      </c>
      <c r="S26" t="e">
        <f t="shared" si="10"/>
        <v>#N/A</v>
      </c>
      <c r="T26">
        <f>Table271115[[#This Row],[Max]]</f>
        <v>0</v>
      </c>
      <c r="U26">
        <f>Table271115[[#This Row],[Min]]</f>
        <v>0</v>
      </c>
      <c r="X26" t="e">
        <f>Table161014[[#This Row],[Column1]]</f>
        <v>#N/A</v>
      </c>
      <c r="Y26">
        <v>24</v>
      </c>
      <c r="Z26" t="e">
        <f t="shared" si="2"/>
        <v>#N/A</v>
      </c>
      <c r="AA26" t="e">
        <f t="shared" si="3"/>
        <v>#N/A</v>
      </c>
      <c r="AB26" t="e">
        <f t="shared" si="4"/>
        <v>#N/A</v>
      </c>
      <c r="AC26" t="e">
        <f t="shared" si="5"/>
        <v>#N/A</v>
      </c>
      <c r="AD26" t="e">
        <f>VLOOKUP(Table161014[[#This Row],['#]],Table271115[['#]:[Drop]],16,0)</f>
        <v>#N/A</v>
      </c>
      <c r="AE26">
        <f>COUNTIF($AD$3:AD26,"X")</f>
        <v>1</v>
      </c>
      <c r="AF26" t="e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#N/A</v>
      </c>
      <c r="AG26" t="e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#N/A</v>
      </c>
    </row>
    <row r="27" spans="1:41" x14ac:dyDescent="0.3">
      <c r="A27">
        <v>25</v>
      </c>
      <c r="B27" t="e">
        <f>VLOOKUP('Round 4'!$A27,INDEX(Entry!$E$2:$U$23,1,'Round 4'!$A$1*2-1):'Entry'!$U$33,18-$A$1*2,0)</f>
        <v>#N/A</v>
      </c>
      <c r="C27" t="e">
        <f>VLOOKUP('Round 4'!$A27,INDEX(Entry!$E$2:$U$23,1,'Round 4'!$A$1*2-1):'Entry'!$U$33,19-$A$1*2,0)</f>
        <v>#N/A</v>
      </c>
      <c r="H27">
        <f t="shared" si="6"/>
        <v>0</v>
      </c>
      <c r="L27">
        <f t="shared" si="0"/>
        <v>0</v>
      </c>
      <c r="M27">
        <f t="shared" si="1"/>
        <v>0</v>
      </c>
      <c r="N27">
        <f t="shared" si="7"/>
        <v>0</v>
      </c>
      <c r="O27">
        <f t="shared" si="8"/>
        <v>0</v>
      </c>
      <c r="P27">
        <f t="shared" si="9"/>
        <v>21</v>
      </c>
      <c r="R27" t="e">
        <f t="shared" si="10"/>
        <v>#N/A</v>
      </c>
      <c r="S27" t="e">
        <f t="shared" si="10"/>
        <v>#N/A</v>
      </c>
      <c r="T27">
        <f>Table271115[[#This Row],[Max]]</f>
        <v>0</v>
      </c>
      <c r="U27">
        <f>Table271115[[#This Row],[Min]]</f>
        <v>0</v>
      </c>
      <c r="X27" t="e">
        <f>Table161014[[#This Row],[Column1]]</f>
        <v>#N/A</v>
      </c>
      <c r="Y27">
        <v>25</v>
      </c>
      <c r="Z27" t="e">
        <f t="shared" si="2"/>
        <v>#N/A</v>
      </c>
      <c r="AA27" t="e">
        <f t="shared" si="3"/>
        <v>#N/A</v>
      </c>
      <c r="AB27" t="e">
        <f t="shared" si="4"/>
        <v>#N/A</v>
      </c>
      <c r="AC27" t="e">
        <f t="shared" si="5"/>
        <v>#N/A</v>
      </c>
      <c r="AD27" t="e">
        <f>VLOOKUP(Table161014[[#This Row],['#]],Table271115[['#]:[Drop]],16,0)</f>
        <v>#N/A</v>
      </c>
      <c r="AE27">
        <f>COUNTIF($AD$3:AD27,"X")</f>
        <v>1</v>
      </c>
      <c r="AF27" t="e">
        <f>IF(Table161014[[#This Row],[Drop Hide]]="X",16+Table161014[[#This Row],[Count drop hide]],IF(Table161014[[#This Row],[Rank]]-Table161014[[#This Row],[Count drop hide]]&gt;16,Table161014[[#This Row],[Rank]],Table161014[[#This Row],[Rank]]-Table161014[[#This Row],[Count drop hide]]))</f>
        <v>#N/A</v>
      </c>
      <c r="AG27" t="e">
        <f>IF(Table161014[[#This Row],[Drop Hide]]="X",10,IF(AND(Table161014[[#This Row],[Highest Score]]&gt;0,Table161014[[#This Row],[Lower Score]]&gt;0),5,IF(AND(Table161014[[#This Row],[Highest Score]]&gt;0,Table161014[[#This Row],[Lower Score]]=0),2,IF(AND(Table161014[[#This Row],[Highest Score]]=0,Table161014[[#This Row],[Lower Score]]=0,VLOOKUP(Table161014[[#This Row],['#]],Table271115[['#]:[Scrut]],3,0)="X"),1,0))))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96633D6B-FD66-440F-B41C-E2BBD5766EAC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1507-CE29-4180-96AF-1E0B2C2CACA8}">
  <dimension ref="A1:AK40"/>
  <sheetViews>
    <sheetView topLeftCell="M7" workbookViewId="0">
      <selection activeCell="AG14" sqref="AG14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>
        <f>VLOOKUP(A2,'Round 4'!$AI$3:$AK$18,2,0)</f>
        <v>93</v>
      </c>
      <c r="C2" s="1" t="str">
        <f>VLOOKUP(A2,'Round 4'!$AI$3:$AK$18,3,0)</f>
        <v>Josh King</v>
      </c>
      <c r="D2" s="1">
        <f>AB3</f>
        <v>3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>
        <f>IF(AND(D2=0,D4=0),"",IF(D2&gt;D4,A2,A4))</f>
        <v>1</v>
      </c>
      <c r="G3" s="1">
        <f>IF(AND(D2=0,D4=0),"",IF(D2&gt;D4,B2,B4))</f>
        <v>93</v>
      </c>
      <c r="H3" s="1" t="str">
        <f>IF(AND(D2=0,D4=0),"",IF(D2&gt;D4,C2,C4))</f>
        <v>Josh King</v>
      </c>
      <c r="I3" s="1">
        <f>AB27</f>
        <v>3</v>
      </c>
      <c r="J3" s="2"/>
      <c r="Y3" s="1">
        <f>A2</f>
        <v>1</v>
      </c>
      <c r="Z3" s="1">
        <f>B2</f>
        <v>93</v>
      </c>
      <c r="AA3" s="1" t="str">
        <f>C2</f>
        <v>Josh King</v>
      </c>
      <c r="AB3" s="4">
        <v>3</v>
      </c>
      <c r="AD3" s="1">
        <f>K5</f>
        <v>1</v>
      </c>
      <c r="AE3" s="1">
        <f t="shared" ref="AE3:AF3" si="0">L5</f>
        <v>93</v>
      </c>
      <c r="AF3" s="1" t="str">
        <f t="shared" si="0"/>
        <v>Josh King</v>
      </c>
      <c r="AG3" s="4"/>
    </row>
    <row r="4" spans="1:37" x14ac:dyDescent="0.3">
      <c r="A4" s="1">
        <v>16</v>
      </c>
      <c r="B4" s="1">
        <f>VLOOKUP(A4,'Round 4'!$AI$3:$AK$18,2,0)</f>
        <v>39</v>
      </c>
      <c r="C4" s="1" t="str">
        <f>VLOOKUP(A4,'Round 4'!$AI$3:$AK$18,3,0)</f>
        <v>Paul Beechey</v>
      </c>
      <c r="D4" s="1">
        <f>AB4</f>
        <v>0</v>
      </c>
      <c r="E4" s="2"/>
      <c r="J4" s="2"/>
      <c r="Y4" s="1">
        <f>A4</f>
        <v>16</v>
      </c>
      <c r="Z4" s="1">
        <f>B4</f>
        <v>39</v>
      </c>
      <c r="AA4" s="1" t="str">
        <f>C4</f>
        <v>Paul Beechey</v>
      </c>
      <c r="AB4" s="4"/>
      <c r="AD4" s="1">
        <f>K13</f>
        <v>5</v>
      </c>
      <c r="AE4" s="1">
        <f t="shared" ref="AE4:AF4" si="1">L13</f>
        <v>265</v>
      </c>
      <c r="AF4" s="1" t="str">
        <f t="shared" si="1"/>
        <v>Axel Hildebrand</v>
      </c>
      <c r="AG4" s="4">
        <v>3</v>
      </c>
    </row>
    <row r="5" spans="1:37" x14ac:dyDescent="0.3">
      <c r="J5" s="2"/>
      <c r="K5" s="1">
        <f>IF(AND(I3=0,I7=0),"",IF(I3&gt;I7,F3,F7))</f>
        <v>1</v>
      </c>
      <c r="L5" s="1">
        <f>IF(AND(I3=0,I7=0),"",IF(I3&gt;I7,G3,G7))</f>
        <v>93</v>
      </c>
      <c r="M5" s="1" t="str">
        <f>IF(AND(I3=0,I7=0),"",IF(I3&gt;I7,H3,H7))</f>
        <v>Josh King</v>
      </c>
      <c r="N5" s="1">
        <f>AG3</f>
        <v>0</v>
      </c>
      <c r="O5" s="2"/>
      <c r="AD5" t="s">
        <v>88</v>
      </c>
    </row>
    <row r="6" spans="1:37" x14ac:dyDescent="0.3">
      <c r="A6" s="1">
        <v>8</v>
      </c>
      <c r="B6" s="1">
        <f>VLOOKUP(A6,'Round 4'!$AI$3:$AK$18,2,0)</f>
        <v>20</v>
      </c>
      <c r="C6" s="1" t="str">
        <f>VLOOKUP(A6,'Round 4'!$AI$3:$AK$18,3,0)</f>
        <v>Ryan Hughes</v>
      </c>
      <c r="D6" s="1">
        <f>AB6</f>
        <v>3</v>
      </c>
      <c r="E6" s="2"/>
      <c r="J6" s="2"/>
      <c r="O6" s="2"/>
      <c r="Y6" s="1">
        <f>A6</f>
        <v>8</v>
      </c>
      <c r="Z6" s="1">
        <f>B6</f>
        <v>20</v>
      </c>
      <c r="AA6" s="1" t="str">
        <f>C6</f>
        <v>Ryan Hughes</v>
      </c>
      <c r="AB6" s="4">
        <v>3</v>
      </c>
      <c r="AD6" s="1">
        <f>K21</f>
        <v>2</v>
      </c>
      <c r="AE6" s="1">
        <f t="shared" ref="AE6:AF6" si="2">L21</f>
        <v>128</v>
      </c>
      <c r="AF6" s="1" t="str">
        <f t="shared" si="2"/>
        <v>Lwi Edwards</v>
      </c>
      <c r="AG6" s="4">
        <v>3</v>
      </c>
      <c r="AI6">
        <f>IF(F3=K5,F7,F3)</f>
        <v>8</v>
      </c>
      <c r="AJ6">
        <f>VLOOKUP(AI6,$A$2:$C$32,2,0)</f>
        <v>20</v>
      </c>
      <c r="AK6" t="str">
        <f>VLOOKUP(AI6,$A$2:$C$32,3,0)</f>
        <v>Ryan Hughes</v>
      </c>
    </row>
    <row r="7" spans="1:37" x14ac:dyDescent="0.3">
      <c r="A7" s="3"/>
      <c r="E7" s="2"/>
      <c r="F7" s="1">
        <f>IF(AND(D6=0,D8=0),"",IF(D6&gt;D8,A6,A8))</f>
        <v>8</v>
      </c>
      <c r="G7" s="1">
        <f>IF(AND(D6=0,D8=0),"",IF(D6&gt;D8,B6,B8))</f>
        <v>20</v>
      </c>
      <c r="H7" s="1" t="str">
        <f>IF(AND(D6=0,D8=0),"",IF(D6&gt;D8,C6,C8))</f>
        <v>Ryan Hughes</v>
      </c>
      <c r="I7" s="1">
        <f>AB28</f>
        <v>0</v>
      </c>
      <c r="J7" s="2"/>
      <c r="O7" s="2"/>
      <c r="Y7" s="1">
        <f>A8</f>
        <v>9</v>
      </c>
      <c r="Z7" s="1">
        <f>B8</f>
        <v>56</v>
      </c>
      <c r="AA7" s="1" t="str">
        <f>C8</f>
        <v>Jonathan Smith</v>
      </c>
      <c r="AB7" s="4"/>
      <c r="AD7" s="1">
        <f>K29</f>
        <v>3</v>
      </c>
      <c r="AE7" s="1">
        <f t="shared" ref="AE7:AF7" si="3">L29</f>
        <v>55</v>
      </c>
      <c r="AF7" s="1" t="str">
        <f t="shared" si="3"/>
        <v>Oliver Evans</v>
      </c>
      <c r="AG7" s="4"/>
      <c r="AI7">
        <f>IF(F11=K13,F15,F11)</f>
        <v>4</v>
      </c>
      <c r="AJ7">
        <f t="shared" ref="AJ7:AJ18" si="4">VLOOKUP(AI7,$A$2:$C$32,2,0)</f>
        <v>86</v>
      </c>
      <c r="AK7" t="str">
        <f t="shared" ref="AK7:AK18" si="5">VLOOKUP(AI7,$A$2:$C$32,3,0)</f>
        <v>David Bastin</v>
      </c>
    </row>
    <row r="8" spans="1:37" x14ac:dyDescent="0.3">
      <c r="A8" s="1">
        <v>9</v>
      </c>
      <c r="B8" s="1">
        <f>VLOOKUP(A8,'Round 4'!$AI$3:$AK$18,2,0)</f>
        <v>56</v>
      </c>
      <c r="C8" s="1" t="str">
        <f>VLOOKUP(A8,'Round 4'!$AI$3:$AK$18,3,0)</f>
        <v>Jonathan Smith</v>
      </c>
      <c r="D8" s="1">
        <f>AB7</f>
        <v>0</v>
      </c>
      <c r="E8" s="2"/>
      <c r="O8" s="2"/>
      <c r="AD8" t="s">
        <v>91</v>
      </c>
      <c r="AI8">
        <f>IF(F19=K21,F23,F19)</f>
        <v>7</v>
      </c>
      <c r="AJ8">
        <f t="shared" si="4"/>
        <v>61</v>
      </c>
      <c r="AK8" t="str">
        <f t="shared" si="5"/>
        <v>Martin Richards</v>
      </c>
    </row>
    <row r="9" spans="1:37" x14ac:dyDescent="0.3">
      <c r="O9" s="2"/>
      <c r="P9" s="1">
        <f>IF(AND(N5=0,N13=0),"",IF(N5&gt;N13,K5,K13))</f>
        <v>5</v>
      </c>
      <c r="Q9" s="1">
        <f>IF(AND(N5=0,N13=0),"",IF(N5&gt;N13,L5,L13))</f>
        <v>265</v>
      </c>
      <c r="R9" s="1" t="str">
        <f>IF(AND(N5=0,N13=0),"",IF(N5&gt;N13,M5,M13))</f>
        <v>Axel Hildebrand</v>
      </c>
      <c r="S9" s="1">
        <f>AG12</f>
        <v>0</v>
      </c>
      <c r="T9" s="2"/>
      <c r="Y9" s="1">
        <f>A10</f>
        <v>4</v>
      </c>
      <c r="Z9" s="1">
        <f t="shared" ref="Z9:AA9" si="6">B10</f>
        <v>86</v>
      </c>
      <c r="AA9" s="1" t="str">
        <f t="shared" si="6"/>
        <v>David Bastin</v>
      </c>
      <c r="AB9" s="4">
        <v>3</v>
      </c>
      <c r="AD9" s="1">
        <f>IF(K5=P9,K13,K5)</f>
        <v>1</v>
      </c>
      <c r="AE9" s="1">
        <f>IF(AND(N5=0,N13=0),"",IF(L5=Q9,L13,L5))</f>
        <v>93</v>
      </c>
      <c r="AF9" s="1" t="str">
        <f>IF(AND(N5=0,N13=0),"",IF(M5=R9,M13,M5))</f>
        <v>Josh King</v>
      </c>
      <c r="AG9" s="4"/>
      <c r="AI9">
        <f>IF(F27=K29,F31,F27)</f>
        <v>11</v>
      </c>
      <c r="AJ9">
        <f t="shared" si="4"/>
        <v>41</v>
      </c>
      <c r="AK9" t="str">
        <f t="shared" si="5"/>
        <v>Ian Phillips</v>
      </c>
    </row>
    <row r="10" spans="1:37" x14ac:dyDescent="0.3">
      <c r="A10" s="1">
        <v>4</v>
      </c>
      <c r="B10" s="1">
        <f>VLOOKUP(A10,'Round 4'!$AI$3:$AK$18,2,0)</f>
        <v>86</v>
      </c>
      <c r="C10" s="1" t="str">
        <f>VLOOKUP(A10,'Round 4'!$AI$3:$AK$18,3,0)</f>
        <v>David Bastin</v>
      </c>
      <c r="D10" s="1">
        <f>AB9</f>
        <v>3</v>
      </c>
      <c r="E10" s="2"/>
      <c r="O10" s="2"/>
      <c r="T10" s="2"/>
      <c r="Y10" s="1">
        <f>A12</f>
        <v>13</v>
      </c>
      <c r="Z10" s="1">
        <f t="shared" ref="Z10:AA10" si="7">B12</f>
        <v>420</v>
      </c>
      <c r="AA10" s="1" t="str">
        <f t="shared" si="7"/>
        <v>Harry Love</v>
      </c>
      <c r="AB10" s="4"/>
      <c r="AD10" s="1">
        <f>IF(K21=P25,K29,K21)</f>
        <v>3</v>
      </c>
      <c r="AE10" s="1">
        <f>IF(AND(N21=0,N29=0),"",IF(L21=Q25,L29,L21))</f>
        <v>55</v>
      </c>
      <c r="AF10" s="1" t="str">
        <f>IF(AND(N21=0,N29=0),"",IF(M21=R25,M29,M21))</f>
        <v>Oliver Evans</v>
      </c>
      <c r="AG10" s="4">
        <v>3</v>
      </c>
    </row>
    <row r="11" spans="1:37" x14ac:dyDescent="0.3">
      <c r="A11" s="3"/>
      <c r="E11" s="2"/>
      <c r="F11" s="1">
        <f>IF(AND(D10=0,D12=0),"",IF(D10&gt;D12,A10,A12))</f>
        <v>4</v>
      </c>
      <c r="G11" s="1">
        <f>IF(AND(D10=0,D12=0),"",IF(D10&gt;D12,B10,B12))</f>
        <v>86</v>
      </c>
      <c r="H11" s="1" t="str">
        <f>IF(AND(D10=0,D12=0),"",IF(D10&gt;D12,C10,C12))</f>
        <v>David Bastin</v>
      </c>
      <c r="I11" s="1">
        <f>AB30</f>
        <v>0</v>
      </c>
      <c r="J11" s="2"/>
      <c r="O11" s="2"/>
      <c r="T11" s="2"/>
      <c r="AD11" t="s">
        <v>89</v>
      </c>
      <c r="AI11">
        <f>IF(A2=F3,A4,A2)</f>
        <v>16</v>
      </c>
      <c r="AJ11">
        <f t="shared" si="4"/>
        <v>39</v>
      </c>
      <c r="AK11" t="str">
        <f t="shared" si="5"/>
        <v>Paul Beechey</v>
      </c>
    </row>
    <row r="12" spans="1:37" x14ac:dyDescent="0.3">
      <c r="A12" s="1">
        <v>13</v>
      </c>
      <c r="B12" s="1">
        <f>VLOOKUP(A12,'Round 4'!$AI$3:$AK$18,2,0)</f>
        <v>420</v>
      </c>
      <c r="C12" s="1" t="str">
        <f>VLOOKUP(A12,'Round 4'!$AI$3:$AK$18,3,0)</f>
        <v>Harry Love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>
        <f t="shared" ref="Z12:AA12" si="8">B14</f>
        <v>265</v>
      </c>
      <c r="AA12" s="1" t="str">
        <f t="shared" si="8"/>
        <v>Axel Hildebrand</v>
      </c>
      <c r="AB12" s="4">
        <v>3</v>
      </c>
      <c r="AD12" s="1">
        <f>P9</f>
        <v>5</v>
      </c>
      <c r="AE12" s="1">
        <f>Q9</f>
        <v>265</v>
      </c>
      <c r="AF12" s="1" t="str">
        <f>R9</f>
        <v>Axel Hildebrand</v>
      </c>
      <c r="AG12" s="4"/>
      <c r="AI12">
        <f>IF(A6=F7,A8,A6)</f>
        <v>9</v>
      </c>
      <c r="AJ12">
        <f t="shared" si="4"/>
        <v>56</v>
      </c>
      <c r="AK12" t="str">
        <f t="shared" si="5"/>
        <v>Jonathan Smith</v>
      </c>
    </row>
    <row r="13" spans="1:37" x14ac:dyDescent="0.3">
      <c r="J13" s="2"/>
      <c r="K13" s="1">
        <f>IF(AND(I11=0,I15=0),"",IF(I11&gt;I15,F11,F15))</f>
        <v>5</v>
      </c>
      <c r="L13" s="1">
        <f>IF(AND(I11=0,I15=0),"",IF(I11&gt;I15,G11,G15))</f>
        <v>265</v>
      </c>
      <c r="M13" s="1" t="str">
        <f>IF(AND(I11=0,I15=0),"",IF(I11&gt;I15,H11,H15))</f>
        <v>Axel Hildebrand</v>
      </c>
      <c r="N13" s="1">
        <f>AG4</f>
        <v>3</v>
      </c>
      <c r="O13" s="2"/>
      <c r="T13" s="2"/>
      <c r="Y13" s="1">
        <f>A16</f>
        <v>12</v>
      </c>
      <c r="Z13" s="1">
        <f t="shared" ref="Z13:AA13" si="9">B16</f>
        <v>26</v>
      </c>
      <c r="AA13" s="1" t="str">
        <f t="shared" si="9"/>
        <v>Haydn Cruickshank</v>
      </c>
      <c r="AB13" s="4"/>
      <c r="AD13" s="1">
        <f>P25</f>
        <v>2</v>
      </c>
      <c r="AE13" s="1">
        <f>Q25</f>
        <v>128</v>
      </c>
      <c r="AF13" s="1" t="str">
        <f>R25</f>
        <v>Lwi Edwards</v>
      </c>
      <c r="AG13" s="4">
        <v>3</v>
      </c>
      <c r="AI13">
        <f>IF(A10=F11,A12,A10)</f>
        <v>13</v>
      </c>
      <c r="AJ13">
        <f t="shared" si="4"/>
        <v>420</v>
      </c>
      <c r="AK13" t="str">
        <f t="shared" si="5"/>
        <v>Harry Love</v>
      </c>
    </row>
    <row r="14" spans="1:37" x14ac:dyDescent="0.3">
      <c r="A14" s="1">
        <v>5</v>
      </c>
      <c r="B14" s="1">
        <f>VLOOKUP(A14,'Round 4'!$AI$3:$AK$18,2,0)</f>
        <v>265</v>
      </c>
      <c r="C14" s="1" t="str">
        <f>VLOOKUP(A14,'Round 4'!$AI$3:$AK$18,3,0)</f>
        <v>Axel Hildebrand</v>
      </c>
      <c r="D14" s="1">
        <f>AB12</f>
        <v>3</v>
      </c>
      <c r="E14" s="2"/>
      <c r="J14" s="2"/>
      <c r="T14" s="2"/>
      <c r="AI14">
        <f>IF(A14=F15,A16,A14)</f>
        <v>12</v>
      </c>
      <c r="AJ14">
        <f t="shared" si="4"/>
        <v>26</v>
      </c>
      <c r="AK14" t="str">
        <f t="shared" si="5"/>
        <v>Haydn Cruickshank</v>
      </c>
    </row>
    <row r="15" spans="1:37" x14ac:dyDescent="0.3">
      <c r="A15" s="3"/>
      <c r="E15" s="2"/>
      <c r="F15" s="1">
        <f>IF(AND(D14=0,D16=0),"",IF(D14&gt;D16,A14,A16))</f>
        <v>5</v>
      </c>
      <c r="G15" s="1">
        <f>IF(AND(D14=0,D16=0),"",IF(D14&gt;D16,B14,B16))</f>
        <v>265</v>
      </c>
      <c r="H15" s="1" t="str">
        <f>IF(AND(D14=0,D16=0),"",IF(D14&gt;D16,C14,C16))</f>
        <v>Axel Hildebrand</v>
      </c>
      <c r="I15" s="1">
        <f>AB31</f>
        <v>3</v>
      </c>
      <c r="J15" s="2"/>
      <c r="T15" s="2"/>
      <c r="Y15" s="1">
        <f>A18</f>
        <v>2</v>
      </c>
      <c r="Z15" s="1">
        <f t="shared" ref="Z15:AA15" si="10">B18</f>
        <v>128</v>
      </c>
      <c r="AA15" s="1" t="str">
        <f t="shared" si="10"/>
        <v>Lwi Edwards</v>
      </c>
      <c r="AB15" s="4">
        <v>3</v>
      </c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15</v>
      </c>
      <c r="AJ15">
        <f t="shared" si="4"/>
        <v>206</v>
      </c>
      <c r="AK15" t="str">
        <f t="shared" si="5"/>
        <v>Matthew Roberts</v>
      </c>
    </row>
    <row r="16" spans="1:37" x14ac:dyDescent="0.3">
      <c r="A16" s="1">
        <v>12</v>
      </c>
      <c r="B16" s="1">
        <f>VLOOKUP(A16,'Round 4'!$AI$3:$AK$18,2,0)</f>
        <v>26</v>
      </c>
      <c r="C16" s="1" t="str">
        <f>VLOOKUP(A16,'Round 4'!$AI$3:$AK$18,3,0)</f>
        <v>Haydn Cruickshank</v>
      </c>
      <c r="D16" s="1">
        <f>AB13</f>
        <v>0</v>
      </c>
      <c r="E16" s="2"/>
      <c r="T16" s="2"/>
      <c r="Y16" s="1">
        <f>A20</f>
        <v>15</v>
      </c>
      <c r="Z16" s="1">
        <f t="shared" ref="Z16:AA16" si="11">B20</f>
        <v>206</v>
      </c>
      <c r="AA16" s="1" t="str">
        <f t="shared" si="11"/>
        <v>Matthew Roberts</v>
      </c>
      <c r="AB16" s="4"/>
      <c r="AD16">
        <v>1</v>
      </c>
      <c r="AE16">
        <f>V17</f>
        <v>128</v>
      </c>
      <c r="AF16" t="str">
        <f>W17</f>
        <v>Lwi Edwards</v>
      </c>
      <c r="AG16">
        <v>50</v>
      </c>
      <c r="AI16">
        <f>IF(A22=F23,A24,A22)</f>
        <v>10</v>
      </c>
      <c r="AJ16">
        <f t="shared" si="4"/>
        <v>66</v>
      </c>
      <c r="AK16" t="str">
        <f t="shared" si="5"/>
        <v>Andy Frost</v>
      </c>
    </row>
    <row r="17" spans="1:37" x14ac:dyDescent="0.3">
      <c r="T17" s="2"/>
      <c r="U17" s="5">
        <f>IF(AND(S9=0,S25=0),"",IF(S9&gt;S25,P9,P25))</f>
        <v>2</v>
      </c>
      <c r="V17" s="5">
        <f>IF(AND(S9=0,S25=0),"",IF(S9&gt;S25,Q9,Q25))</f>
        <v>128</v>
      </c>
      <c r="W17" s="5" t="str">
        <f>IF(AND(S9=0,S25=0),"",IF(S9&gt;S25,R9,R25))</f>
        <v>Lwi Edwards</v>
      </c>
      <c r="AD17">
        <v>2</v>
      </c>
      <c r="AE17">
        <f>IF(V17="","",IF(Q9=V17,Q25,Q9))</f>
        <v>265</v>
      </c>
      <c r="AF17" t="str">
        <f>IF(W17="","",IF(R9=W17,R25,R9))</f>
        <v>Axel Hildebrand</v>
      </c>
      <c r="AG17">
        <v>40</v>
      </c>
      <c r="AI17">
        <f>IF(A26=F27,A28,A26)</f>
        <v>14</v>
      </c>
      <c r="AJ17">
        <f t="shared" si="4"/>
        <v>157</v>
      </c>
      <c r="AK17" t="str">
        <f t="shared" si="5"/>
        <v>George Barclay</v>
      </c>
    </row>
    <row r="18" spans="1:37" x14ac:dyDescent="0.3">
      <c r="A18" s="1">
        <v>2</v>
      </c>
      <c r="B18" s="1">
        <f>VLOOKUP(A18,'Round 4'!$AI$3:$AK$18,2,0)</f>
        <v>128</v>
      </c>
      <c r="C18" s="1" t="str">
        <f>VLOOKUP(A18,'Round 4'!$AI$3:$AK$18,3,0)</f>
        <v>Lwi Edwards</v>
      </c>
      <c r="D18" s="1">
        <f>AB15</f>
        <v>3</v>
      </c>
      <c r="E18" s="2"/>
      <c r="T18" s="2"/>
      <c r="Y18" s="1">
        <f>A22</f>
        <v>7</v>
      </c>
      <c r="Z18" s="1">
        <f t="shared" ref="Z18:AA18" si="12">B22</f>
        <v>61</v>
      </c>
      <c r="AA18" s="1" t="str">
        <f t="shared" si="12"/>
        <v>Martin Richards</v>
      </c>
      <c r="AB18" s="4">
        <v>3</v>
      </c>
      <c r="AD18">
        <v>3</v>
      </c>
      <c r="AE18">
        <f>IF(AG9&gt;AG10,AE9,IF(AG10&gt;AG9,AE10,IF(AD9&lt;AD10,AE9,AE10)))</f>
        <v>55</v>
      </c>
      <c r="AF18" t="str">
        <f>IF(AG9&gt;AG10,AF9,IF(AG10&gt;AG9,AF10,IF(AD9&lt;AD10,AF9,AF10)))</f>
        <v>Oliver Evans</v>
      </c>
      <c r="AG18">
        <v>30</v>
      </c>
      <c r="AI18">
        <f>IF(A30=F31,A32,A30)</f>
        <v>6</v>
      </c>
      <c r="AJ18">
        <f t="shared" si="4"/>
        <v>112</v>
      </c>
      <c r="AK18" t="str">
        <f t="shared" si="5"/>
        <v>Nathan Chivers</v>
      </c>
    </row>
    <row r="19" spans="1:37" x14ac:dyDescent="0.3">
      <c r="A19" s="3"/>
      <c r="E19" s="2"/>
      <c r="F19" s="1">
        <f>IF(AND(D18=0,D20=0),"",IF(D18&gt;D20,A18,A20))</f>
        <v>2</v>
      </c>
      <c r="G19" s="1">
        <f>IF(AND(D18=0,D20=0),"",IF(D18&gt;D20,B18,B20))</f>
        <v>128</v>
      </c>
      <c r="H19" s="1" t="str">
        <f>IF(AND(D18=0,D20=0),"",IF(D18&gt;D20,C18,C20))</f>
        <v>Lwi Edwards</v>
      </c>
      <c r="I19" s="1">
        <f>AB33</f>
        <v>3</v>
      </c>
      <c r="J19" s="2"/>
      <c r="T19" s="2"/>
      <c r="Y19" s="1">
        <f>A24</f>
        <v>10</v>
      </c>
      <c r="Z19" s="1">
        <f t="shared" ref="Z19:AA19" si="13">B24</f>
        <v>66</v>
      </c>
      <c r="AA19" s="1" t="str">
        <f t="shared" si="13"/>
        <v>Andy Frost</v>
      </c>
      <c r="AB19" s="4"/>
      <c r="AD19">
        <v>4</v>
      </c>
      <c r="AE19">
        <f>IF(AG9&gt;AG10,AE10,IF(AG10&gt;AG9,AE9,IF(AD9&lt;AD10,AE10,AE9)))</f>
        <v>93</v>
      </c>
      <c r="AF19" t="str">
        <f>IF(AG9&gt;AG10,AF10,IF(AG10&gt;AG9,AF9,IF(AD9&lt;AD10,AF10,AF9)))</f>
        <v>Josh King</v>
      </c>
      <c r="AG19">
        <v>25</v>
      </c>
    </row>
    <row r="20" spans="1:37" x14ac:dyDescent="0.3">
      <c r="A20" s="1">
        <v>15</v>
      </c>
      <c r="B20" s="1">
        <f>VLOOKUP(A20,'Round 4'!$AI$3:$AK$18,2,0)</f>
        <v>206</v>
      </c>
      <c r="C20" s="1" t="str">
        <f>VLOOKUP(A20,'Round 4'!$AI$3:$AK$18,3,0)</f>
        <v>Matthew Roberts</v>
      </c>
      <c r="D20" s="1">
        <f>AB16</f>
        <v>0</v>
      </c>
      <c r="E20" s="2"/>
      <c r="J20" s="2"/>
      <c r="T20" s="2"/>
      <c r="AD20">
        <v>5</v>
      </c>
      <c r="AE20">
        <f>IF(OR($L$5="",$L$13="",$L$21="",$L$29=""),"",VLOOKUP(SMALL($AI$6:$AI$9,1),$AI$6:$AK$9,2,0))</f>
        <v>86</v>
      </c>
      <c r="AF20" t="str">
        <f>IF(OR($L$5="",$L$13="",$L$21="",$L$29=""),"",VLOOKUP(SMALL($AI$6:$AI$9,1),$AI$6:$AK$9,3,0))</f>
        <v>David Bastin</v>
      </c>
      <c r="AG20">
        <v>20</v>
      </c>
    </row>
    <row r="21" spans="1:37" x14ac:dyDescent="0.3">
      <c r="J21" s="2"/>
      <c r="K21" s="1">
        <f>IF(AND(I19=0,I23=0),"",IF(I19&gt;I23,F19,F23))</f>
        <v>2</v>
      </c>
      <c r="L21" s="1">
        <f>IF(AND(I19=0,I23=0),"",IF(I19&gt;I23,G19,G23))</f>
        <v>128</v>
      </c>
      <c r="M21" s="1" t="str">
        <f>IF(AND(I19=0,I23=0),"",IF(I19&gt;I23,H19,H23))</f>
        <v>Lwi Edwards</v>
      </c>
      <c r="N21" s="1">
        <f>AG6</f>
        <v>3</v>
      </c>
      <c r="O21" s="2"/>
      <c r="T21" s="2"/>
      <c r="Y21" s="1">
        <f>A26</f>
        <v>3</v>
      </c>
      <c r="Z21" s="1">
        <f t="shared" ref="Z21:AA21" si="14">B26</f>
        <v>55</v>
      </c>
      <c r="AA21" s="1" t="str">
        <f t="shared" si="14"/>
        <v>Oliver Evans</v>
      </c>
      <c r="AB21" s="4">
        <v>3</v>
      </c>
      <c r="AD21">
        <v>6</v>
      </c>
      <c r="AE21">
        <f>IF(OR($L$5="",$L$13="",$L$21="",$L$29=""),"",VLOOKUP(SMALL($AI$6:$AI$9,2),$AI$6:$AK$9,2,0))</f>
        <v>61</v>
      </c>
      <c r="AF21" t="str">
        <f>IF(OR($L$5="",$L$13="",$L$21="",$L$29=""),"",VLOOKUP(SMALL($AI$6:$AI$9,2),$AI$6:$AK$9,3,0))</f>
        <v>Martin Richards</v>
      </c>
      <c r="AG21">
        <v>20</v>
      </c>
    </row>
    <row r="22" spans="1:37" x14ac:dyDescent="0.3">
      <c r="A22" s="1">
        <v>7</v>
      </c>
      <c r="B22" s="1">
        <f>VLOOKUP(A22,'Round 4'!$AI$3:$AK$18,2,0)</f>
        <v>61</v>
      </c>
      <c r="C22" s="1" t="str">
        <f>VLOOKUP(A22,'Round 4'!$AI$3:$AK$18,3,0)</f>
        <v>Martin Richards</v>
      </c>
      <c r="D22" s="1">
        <f>AB18</f>
        <v>3</v>
      </c>
      <c r="E22" s="2"/>
      <c r="J22" s="2"/>
      <c r="O22" s="2"/>
      <c r="T22" s="2"/>
      <c r="Y22" s="1">
        <f>A28</f>
        <v>14</v>
      </c>
      <c r="Z22" s="1">
        <f t="shared" ref="Z22:AA22" si="15">B28</f>
        <v>157</v>
      </c>
      <c r="AA22" s="1" t="str">
        <f t="shared" si="15"/>
        <v>George Barclay</v>
      </c>
      <c r="AB22" s="4"/>
      <c r="AD22">
        <v>7</v>
      </c>
      <c r="AE22">
        <f>IF(OR($L$5="",$L$13="",$L$21="",$L$29=""),"",VLOOKUP(SMALL($AI$6:$AI$9,3),$AI$6:$AK$9,2,0))</f>
        <v>20</v>
      </c>
      <c r="AF22" t="str">
        <f>IF(OR($L$5="",$L$13="",$L$21="",$L$29=""),"",VLOOKUP(SMALL($AI$6:$AI$9,3),$AI$6:$AK$9,3,0))</f>
        <v>Ryan Hughes</v>
      </c>
      <c r="AG22">
        <v>20</v>
      </c>
    </row>
    <row r="23" spans="1:37" x14ac:dyDescent="0.3">
      <c r="A23" s="3"/>
      <c r="E23" s="2"/>
      <c r="F23" s="1">
        <f>IF(AND(D22=0,D24=0),"",IF(D22&gt;D24,A22,A24))</f>
        <v>7</v>
      </c>
      <c r="G23" s="1">
        <f>IF(AND(D22=0,D24=0),"",IF(D22&gt;D24,B22,B24))</f>
        <v>61</v>
      </c>
      <c r="H23" s="1" t="str">
        <f>IF(AND(D22=0,D24=0),"",IF(D22&gt;D24,C22,C24))</f>
        <v>Martin Richards</v>
      </c>
      <c r="I23" s="1">
        <f>AB34</f>
        <v>0</v>
      </c>
      <c r="J23" s="2"/>
      <c r="O23" s="2"/>
      <c r="T23" s="2"/>
      <c r="AD23">
        <v>8</v>
      </c>
      <c r="AE23">
        <f>IF(OR($L$5="",$L$13="",$L$21="",$L$29=""),"",VLOOKUP(SMALL($AI$6:$AI$9,4),$AI$6:$AK$9,2,0))</f>
        <v>41</v>
      </c>
      <c r="AF23" t="str">
        <f>IF(OR($L$5="",$L$13="",$L$21="",$L$29=""),"",VLOOKUP(SMALL($AI$6:$AI$9,4),$AI$6:$AK$9,3,0))</f>
        <v>Ian Phillips</v>
      </c>
      <c r="AG23">
        <v>20</v>
      </c>
    </row>
    <row r="24" spans="1:37" x14ac:dyDescent="0.3">
      <c r="A24" s="1">
        <v>10</v>
      </c>
      <c r="B24" s="1">
        <f>VLOOKUP(A24,'Round 4'!$AI$3:$AK$18,2,0)</f>
        <v>66</v>
      </c>
      <c r="C24" s="1" t="str">
        <f>VLOOKUP(A24,'Round 4'!$AI$3:$AK$18,3,0)</f>
        <v>Andy Frost</v>
      </c>
      <c r="D24" s="1">
        <f>AB19</f>
        <v>0</v>
      </c>
      <c r="E24" s="2"/>
      <c r="O24" s="2"/>
      <c r="T24" s="2"/>
      <c r="Y24" s="1">
        <f>A30</f>
        <v>6</v>
      </c>
      <c r="Z24" s="1">
        <f t="shared" ref="Z24:AA24" si="16">B30</f>
        <v>112</v>
      </c>
      <c r="AA24" s="1" t="str">
        <f t="shared" si="16"/>
        <v>Nathan Chivers</v>
      </c>
      <c r="AB24" s="4"/>
      <c r="AD24">
        <v>9</v>
      </c>
      <c r="AE24">
        <f>IF(OR($G$3="",$G$7="",$G$11="",$G$15="",$G$19="",$G$23="",$G$27="",$G$31=""),"",VLOOKUP(SMALL($AI$11:$AI$18,1),$AI$11:$AK$18,2,0))</f>
        <v>112</v>
      </c>
      <c r="AF24" t="str">
        <f>IF(OR($G$3="",$G$7="",$G$11="",$G$15="",$G$19="",$G$23="",$G$27="",$G$31=""),"",VLOOKUP(SMALL($AI$11:$AI$18,1),$AI$11:$AK$18,3,0))</f>
        <v>Nathan Chivers</v>
      </c>
      <c r="AG24">
        <v>10</v>
      </c>
    </row>
    <row r="25" spans="1:37" x14ac:dyDescent="0.3">
      <c r="O25" s="2"/>
      <c r="P25" s="1">
        <f>IF(AND(N21=0,N29=0),"",IF(N21&gt;N29,K21,K29))</f>
        <v>2</v>
      </c>
      <c r="Q25" s="1">
        <f>IF(AND(N21=0,N29=0),"",IF(N21&gt;N29,L21,L29))</f>
        <v>128</v>
      </c>
      <c r="R25" s="1" t="str">
        <f>IF(AND(N21=0,N29=0),"",IF(N21&gt;N29,M21,M29))</f>
        <v>Lwi Edwards</v>
      </c>
      <c r="S25" s="1">
        <f>AG13</f>
        <v>3</v>
      </c>
      <c r="T25" s="2"/>
      <c r="Y25" s="1">
        <f>A32</f>
        <v>11</v>
      </c>
      <c r="Z25" s="1">
        <f t="shared" ref="Z25:AA25" si="17">B32</f>
        <v>41</v>
      </c>
      <c r="AA25" s="1" t="str">
        <f t="shared" si="17"/>
        <v>Ian Phillips</v>
      </c>
      <c r="AB25" s="4">
        <v>3</v>
      </c>
      <c r="AD25">
        <v>10</v>
      </c>
      <c r="AE25">
        <f>IF(OR($G$3="",$G$7="",$G$11="",$G$15="",$G$19="",$G$23="",$G$27="",$G$31=""),"",VLOOKUP(SMALL($AI$11:$AI$18,2),$AI$11:$AK$18,2,0))</f>
        <v>56</v>
      </c>
      <c r="AF25" t="str">
        <f>IF(OR($G$3="",$G$7="",$G$11="",$G$15="",$G$19="",$G$23="",$G$27="",$G$31=""),"",VLOOKUP(SMALL($AI$11:$AI$18,2),$AI$11:$AK$18,3,0))</f>
        <v>Jonathan Smith</v>
      </c>
      <c r="AG25">
        <v>10</v>
      </c>
    </row>
    <row r="26" spans="1:37" x14ac:dyDescent="0.3">
      <c r="A26" s="1">
        <v>3</v>
      </c>
      <c r="B26" s="1">
        <f>VLOOKUP(A26,'Round 4'!$AI$3:$AK$18,2,0)</f>
        <v>55</v>
      </c>
      <c r="C26" s="1" t="str">
        <f>VLOOKUP(A26,'Round 4'!$AI$3:$AK$18,3,0)</f>
        <v>Oliver Evans</v>
      </c>
      <c r="D26" s="1">
        <f>AB21</f>
        <v>3</v>
      </c>
      <c r="E26" s="2"/>
      <c r="O26" s="2"/>
      <c r="Y26" s="2"/>
      <c r="Z26" s="2"/>
      <c r="AA26" s="2"/>
      <c r="AB26" s="2"/>
      <c r="AD26">
        <v>11</v>
      </c>
      <c r="AE26">
        <f>IF(OR($G$3="",$G$7="",$G$11="",$G$15="",$G$19="",$G$23="",$G$27="",$G$31=""),"",VLOOKUP(SMALL($AI$11:$AI$18,3),$AI$11:$AK$18,2,0))</f>
        <v>66</v>
      </c>
      <c r="AF26" t="str">
        <f>IF(OR($G$3="",$G$7="",$G$11="",$G$15="",$G$19="",$G$23="",$G$27="",$G$31=""),"",VLOOKUP(SMALL($AI$11:$AI$18,3),$AI$11:$AK$18,3,0))</f>
        <v>Andy Frost</v>
      </c>
      <c r="AG26">
        <v>10</v>
      </c>
    </row>
    <row r="27" spans="1:37" x14ac:dyDescent="0.3">
      <c r="A27" s="3"/>
      <c r="E27" s="2"/>
      <c r="F27" s="1">
        <f>IF(AND(D26=0,D28=0),"",IF(D26&gt;D28,A26,A28))</f>
        <v>3</v>
      </c>
      <c r="G27" s="1">
        <f>IF(AND(D26=0,D28=0),"",IF(D26&gt;D28,B26,B28))</f>
        <v>55</v>
      </c>
      <c r="H27" s="1" t="str">
        <f>IF(AND(D26=0,D28=0),"",IF(D26&gt;D28,C26,C28))</f>
        <v>Oliver Evans</v>
      </c>
      <c r="I27" s="1">
        <f>AB36</f>
        <v>3</v>
      </c>
      <c r="J27" s="2"/>
      <c r="O27" s="2"/>
      <c r="Y27" s="1">
        <f>F3</f>
        <v>1</v>
      </c>
      <c r="Z27" s="1">
        <f t="shared" ref="Z27:AA27" si="18">G3</f>
        <v>93</v>
      </c>
      <c r="AA27" s="1" t="str">
        <f t="shared" si="18"/>
        <v>Josh King</v>
      </c>
      <c r="AB27" s="4">
        <v>3</v>
      </c>
      <c r="AD27">
        <v>12</v>
      </c>
      <c r="AE27">
        <f>IF(OR($G$3="",$G$7="",$G$11="",$G$15="",$G$19="",$G$23="",$G$27="",$G$31=""),"",VLOOKUP(SMALL($AI$11:$AI$18,4),$AI$11:$AK$18,2,0))</f>
        <v>26</v>
      </c>
      <c r="AF27" t="str">
        <f>IF(OR($G$3="",$G$7="",$G$11="",$G$15="",$G$19="",$G$23="",$G$27="",$G$31=""),"",VLOOKUP(SMALL($AI$11:$AI$18,4),$AI$11:$AK$18,3,0))</f>
        <v>Haydn Cruickshank</v>
      </c>
      <c r="AG27">
        <v>10</v>
      </c>
    </row>
    <row r="28" spans="1:37" x14ac:dyDescent="0.3">
      <c r="A28" s="1">
        <v>14</v>
      </c>
      <c r="B28" s="1">
        <f>VLOOKUP(A28,'Round 4'!$AI$3:$AK$18,2,0)</f>
        <v>157</v>
      </c>
      <c r="C28" s="1" t="str">
        <f>VLOOKUP(A28,'Round 4'!$AI$3:$AK$18,3,0)</f>
        <v>George Barclay</v>
      </c>
      <c r="D28" s="1">
        <f>AB22</f>
        <v>0</v>
      </c>
      <c r="E28" s="2"/>
      <c r="J28" s="2"/>
      <c r="O28" s="2"/>
      <c r="Y28" s="1">
        <f>F7</f>
        <v>8</v>
      </c>
      <c r="Z28" s="1">
        <f t="shared" ref="Z28:AA28" si="19">G7</f>
        <v>20</v>
      </c>
      <c r="AA28" s="1" t="str">
        <f t="shared" si="19"/>
        <v>Ryan Hughes</v>
      </c>
      <c r="AB28" s="4"/>
      <c r="AD28">
        <v>13</v>
      </c>
      <c r="AE28">
        <f>IF(OR($G$3="",$G$7="",$G$11="",$G$15="",$G$19="",$G$23="",$G$27="",$G$31=""),"",VLOOKUP(SMALL($AI$11:$AI$18,5),$AI$11:$AK$18,2,0))</f>
        <v>420</v>
      </c>
      <c r="AF28" t="str">
        <f>IF(OR($G$3="",$G$7="",$G$11="",$G$15="",$G$19="",$G$23="",$G$27="",$G$31=""),"",VLOOKUP(SMALL($AI$11:$AI$18,5),$AI$11:$AK$18,3,0))</f>
        <v>Harry Love</v>
      </c>
      <c r="AG28">
        <v>10</v>
      </c>
    </row>
    <row r="29" spans="1:37" x14ac:dyDescent="0.3">
      <c r="J29" s="2"/>
      <c r="K29" s="1">
        <f>IF(AND(I27=0,I31=0),"",IF(I27&gt;I31,F27,F31))</f>
        <v>3</v>
      </c>
      <c r="L29" s="1">
        <f>IF(AND(I27=0,I31=0),"",IF(I27&gt;I31,G27,G31))</f>
        <v>55</v>
      </c>
      <c r="M29" s="1" t="str">
        <f>IF(AND(I27=0,I31=0),"",IF(I27&gt;I31,H27,H31))</f>
        <v>Oliver Evans</v>
      </c>
      <c r="N29" s="1">
        <f>AG7</f>
        <v>0</v>
      </c>
      <c r="O29" s="2"/>
      <c r="AD29">
        <v>14</v>
      </c>
      <c r="AE29">
        <f>IF(OR($G$3="",$G$7="",$G$11="",$G$15="",$G$19="",$G$23="",$G$27="",$G$31=""),"",VLOOKUP(SMALL($AI$11:$AI$18,6),$AI$11:$AK$18,2,0))</f>
        <v>157</v>
      </c>
      <c r="AF29" t="str">
        <f>IF(OR($G$3="",$G$7="",$G$11="",$G$15="",$G$19="",$G$23="",$G$27="",$G$31=""),"",VLOOKUP(SMALL($AI$11:$AI$18,6),$AI$11:$AK$18,3,0))</f>
        <v>George Barclay</v>
      </c>
      <c r="AG29">
        <v>10</v>
      </c>
    </row>
    <row r="30" spans="1:37" x14ac:dyDescent="0.3">
      <c r="A30" s="1">
        <v>6</v>
      </c>
      <c r="B30" s="1">
        <f>VLOOKUP(A30,'Round 4'!$AI$3:$AK$18,2,0)</f>
        <v>112</v>
      </c>
      <c r="C30" s="1" t="str">
        <f>VLOOKUP(A30,'Round 4'!$AI$3:$AK$18,3,0)</f>
        <v>Nathan Chivers</v>
      </c>
      <c r="D30" s="1">
        <f>AB24</f>
        <v>0</v>
      </c>
      <c r="E30" s="2"/>
      <c r="J30" s="2"/>
      <c r="Y30" s="1">
        <f>F11</f>
        <v>4</v>
      </c>
      <c r="Z30" s="1">
        <f t="shared" ref="Z30:AA30" si="20">G11</f>
        <v>86</v>
      </c>
      <c r="AA30" s="1" t="str">
        <f t="shared" si="20"/>
        <v>David Bastin</v>
      </c>
      <c r="AB30" s="4"/>
      <c r="AD30">
        <v>15</v>
      </c>
      <c r="AE30">
        <f>IF(OR($G$3="",$G$7="",$G$11="",$G$15="",$G$19="",$G$23="",$G$27="",$G$31=""),"",VLOOKUP(SMALL($AI$11:$AI$18,7),$AI$11:$AK$18,2,0))</f>
        <v>206</v>
      </c>
      <c r="AF30" t="str">
        <f>IF(OR($G$3="",$G$7="",$G$11="",$G$15="",$G$19="",$G$23="",$G$27="",$G$31=""),"",VLOOKUP(SMALL($AI$11:$AI$18,7),$AI$11:$AK$18,3,0))</f>
        <v>Matthew Roberts</v>
      </c>
      <c r="AG30">
        <v>10</v>
      </c>
    </row>
    <row r="31" spans="1:37" x14ac:dyDescent="0.3">
      <c r="A31" s="3"/>
      <c r="E31" s="2"/>
      <c r="F31" s="1">
        <f>IF(AND(D30=0,D32=0),"",IF(D30&gt;D32,A30,A32))</f>
        <v>11</v>
      </c>
      <c r="G31" s="1">
        <f>IF(AND(D30=0,D32=0),"",IF(D30&gt;D32,B30,B32))</f>
        <v>41</v>
      </c>
      <c r="H31" s="1" t="str">
        <f>IF(AND(D30=0,D32=0),"",IF(D30&gt;D32,C30,C32))</f>
        <v>Ian Phillips</v>
      </c>
      <c r="I31" s="1">
        <f>AB37</f>
        <v>0</v>
      </c>
      <c r="J31" s="2"/>
      <c r="P31" s="1">
        <f>AD9</f>
        <v>1</v>
      </c>
      <c r="Q31" s="1">
        <f>AE9</f>
        <v>93</v>
      </c>
      <c r="R31" s="1" t="str">
        <f>AF9</f>
        <v>Josh King</v>
      </c>
      <c r="S31" s="1">
        <f>AG9</f>
        <v>0</v>
      </c>
      <c r="T31" s="2"/>
      <c r="Y31" s="1">
        <f>F15</f>
        <v>5</v>
      </c>
      <c r="Z31" s="1">
        <f t="shared" ref="Z31:AA31" si="21">G15</f>
        <v>265</v>
      </c>
      <c r="AA31" s="1" t="str">
        <f t="shared" si="21"/>
        <v>Axel Hildebrand</v>
      </c>
      <c r="AB31" s="4">
        <v>3</v>
      </c>
      <c r="AD31">
        <v>16</v>
      </c>
      <c r="AE31">
        <f>IF(OR($G$3="",$G$7="",$G$11="",$G$15="",$G$19="",$G$23="",$G$27="",$G$31=""),"",VLOOKUP(SMALL($AI$11:$AI$18,8),$AI$11:$AK$18,2,0))</f>
        <v>39</v>
      </c>
      <c r="AF31" t="str">
        <f>IF(OR($G$3="",$G$7="",$G$11="",$G$15="",$G$19="",$G$23="",$G$27="",$G$31=""),"",VLOOKUP(SMALL($AI$11:$AI$18,8),$AI$11:$AK$18,3,0))</f>
        <v>Paul Beechey</v>
      </c>
      <c r="AG31">
        <v>10</v>
      </c>
    </row>
    <row r="32" spans="1:37" x14ac:dyDescent="0.3">
      <c r="A32" s="1">
        <v>11</v>
      </c>
      <c r="B32" s="1">
        <f>VLOOKUP(A32,'Round 4'!$AI$3:$AK$18,2,0)</f>
        <v>41</v>
      </c>
      <c r="C32" s="1" t="str">
        <f>VLOOKUP(A32,'Round 4'!$AI$3:$AK$18,3,0)</f>
        <v>Ian Phillips</v>
      </c>
      <c r="D32" s="1">
        <f>AB25</f>
        <v>3</v>
      </c>
      <c r="E32" s="2"/>
      <c r="T32" s="2"/>
      <c r="U32" s="1"/>
      <c r="V32" s="1">
        <f>AE18</f>
        <v>55</v>
      </c>
      <c r="W32" s="1" t="str">
        <f>AF18</f>
        <v>Oliver Evans</v>
      </c>
      <c r="AD32">
        <v>17</v>
      </c>
      <c r="AE32">
        <v>353</v>
      </c>
      <c r="AF32" t="s">
        <v>109</v>
      </c>
      <c r="AG32">
        <v>10</v>
      </c>
    </row>
    <row r="33" spans="16:33" x14ac:dyDescent="0.3">
      <c r="P33" s="1">
        <f>AD10</f>
        <v>3</v>
      </c>
      <c r="Q33" s="1">
        <f>AE10</f>
        <v>55</v>
      </c>
      <c r="R33" s="1" t="str">
        <f>AF10</f>
        <v>Oliver Evans</v>
      </c>
      <c r="S33" s="1">
        <f>AG10</f>
        <v>3</v>
      </c>
      <c r="T33" s="2"/>
      <c r="Y33" s="1">
        <f>F19</f>
        <v>2</v>
      </c>
      <c r="Z33" s="1">
        <f>G19</f>
        <v>128</v>
      </c>
      <c r="AA33" s="1" t="str">
        <f>H19</f>
        <v>Lwi Edwards</v>
      </c>
      <c r="AB33" s="4">
        <v>3</v>
      </c>
      <c r="AD33">
        <v>18</v>
      </c>
      <c r="AE33">
        <f>VLOOKUP(Table591317[[#This Row],[Final]],'Round 4'!$X$19:$AG$27,3,0)</f>
        <v>147</v>
      </c>
      <c r="AF33" t="str">
        <f>VLOOKUP(Table591317[[#This Row],[Final]],'Round 4'!$X$19:$AG$27,4,0)</f>
        <v>Richie Gilbey</v>
      </c>
      <c r="AG33">
        <f>VLOOKUP(Table591317[[#This Row],[Final]],'Round 4'!$X$19:$AG$27,10,0)</f>
        <v>5</v>
      </c>
    </row>
    <row r="34" spans="16:33" x14ac:dyDescent="0.3">
      <c r="Y34" s="1">
        <f>F23</f>
        <v>7</v>
      </c>
      <c r="Z34" s="1">
        <f>G23</f>
        <v>61</v>
      </c>
      <c r="AA34" s="1" t="str">
        <f>H23</f>
        <v>Martin Richards</v>
      </c>
      <c r="AB34" s="4"/>
      <c r="AD34">
        <v>19</v>
      </c>
      <c r="AE34">
        <f>VLOOKUP(Table591317[[#This Row],[Final]],'Round 4'!$X$19:$AG$27,3,0)</f>
        <v>18</v>
      </c>
      <c r="AF34" t="str">
        <f>VLOOKUP(Table591317[[#This Row],[Final]],'Round 4'!$X$19:$AG$27,4,0)</f>
        <v>Matthew Denham</v>
      </c>
      <c r="AG34">
        <f>VLOOKUP(Table591317[[#This Row],[Final]],'Round 4'!$X$19:$AG$27,10,0)</f>
        <v>0</v>
      </c>
    </row>
    <row r="35" spans="16:33" x14ac:dyDescent="0.3">
      <c r="AD35">
        <v>20</v>
      </c>
      <c r="AE35">
        <f>VLOOKUP(Table591317[[#This Row],[Final]],'Round 4'!$X$19:$AG$27,3,0)</f>
        <v>94</v>
      </c>
      <c r="AF35" t="str">
        <f>VLOOKUP(Table591317[[#This Row],[Final]],'Round 4'!$X$19:$AG$27,4,0)</f>
        <v>Paul Cunnington</v>
      </c>
      <c r="AG35">
        <f>VLOOKUP(Table591317[[#This Row],[Final]],'Round 4'!$X$19:$AG$27,10,0)</f>
        <v>1</v>
      </c>
    </row>
    <row r="36" spans="16:33" x14ac:dyDescent="0.3">
      <c r="Y36" s="1">
        <f>F27</f>
        <v>3</v>
      </c>
      <c r="Z36" s="1">
        <f>G27</f>
        <v>55</v>
      </c>
      <c r="AA36" s="1" t="str">
        <f>H27</f>
        <v>Oliver Evans</v>
      </c>
      <c r="AB36" s="4">
        <v>3</v>
      </c>
      <c r="AD36">
        <v>21</v>
      </c>
      <c r="AE36" t="e">
        <f>VLOOKUP(Table591317[[#This Row],[Final]],'Round 4'!$X$19:$AG$27,3,0)</f>
        <v>#N/A</v>
      </c>
      <c r="AF36" t="e">
        <f>VLOOKUP(Table591317[[#This Row],[Final]],'Round 4'!$X$19:$AG$27,4,0)</f>
        <v>#N/A</v>
      </c>
      <c r="AG36" t="e">
        <f>VLOOKUP(Table591317[[#This Row],[Final]],'Round 4'!$X$19:$AG$27,10,0)</f>
        <v>#N/A</v>
      </c>
    </row>
    <row r="37" spans="16:33" x14ac:dyDescent="0.3">
      <c r="Y37" s="1">
        <f>F31</f>
        <v>11</v>
      </c>
      <c r="Z37" s="1">
        <f>G31</f>
        <v>41</v>
      </c>
      <c r="AA37" s="1" t="str">
        <f>H31</f>
        <v>Ian Phillips</v>
      </c>
      <c r="AB37" s="4"/>
      <c r="AD37">
        <v>22</v>
      </c>
      <c r="AE37" t="e">
        <f>VLOOKUP(Table591317[[#This Row],[Final]],'Round 4'!$X$19:$AG$27,3,0)</f>
        <v>#N/A</v>
      </c>
      <c r="AF37" t="e">
        <f>VLOOKUP(Table591317[[#This Row],[Final]],'Round 4'!$X$19:$AG$27,4,0)</f>
        <v>#N/A</v>
      </c>
      <c r="AG37" t="e">
        <f>VLOOKUP(Table591317[[#This Row],[Final]],'Round 4'!$X$19:$AG$27,10,0)</f>
        <v>#N/A</v>
      </c>
    </row>
    <row r="38" spans="16:33" x14ac:dyDescent="0.3">
      <c r="AD38">
        <v>23</v>
      </c>
      <c r="AE38" t="e">
        <f>VLOOKUP(Table591317[[#This Row],[Final]],'Round 4'!$X$19:$AG$27,3,0)</f>
        <v>#N/A</v>
      </c>
      <c r="AF38" t="e">
        <f>VLOOKUP(Table591317[[#This Row],[Final]],'Round 4'!$X$19:$AG$27,4,0)</f>
        <v>#N/A</v>
      </c>
      <c r="AG38" t="e">
        <f>VLOOKUP(Table591317[[#This Row],[Final]],'Round 4'!$X$19:$AG$27,10,0)</f>
        <v>#N/A</v>
      </c>
    </row>
    <row r="39" spans="16:33" x14ac:dyDescent="0.3">
      <c r="AD39">
        <v>24</v>
      </c>
      <c r="AE39" t="e">
        <f>VLOOKUP(Table591317[[#This Row],[Final]],'Round 4'!$X$19:$AG$27,3,0)</f>
        <v>#N/A</v>
      </c>
      <c r="AF39" t="e">
        <f>VLOOKUP(Table591317[[#This Row],[Final]],'Round 4'!$X$19:$AG$27,4,0)</f>
        <v>#N/A</v>
      </c>
      <c r="AG39" t="e">
        <f>VLOOKUP(Table591317[[#This Row],[Final]],'Round 4'!$X$19:$AG$27,10,0)</f>
        <v>#N/A</v>
      </c>
    </row>
    <row r="40" spans="16:33" x14ac:dyDescent="0.3">
      <c r="AD40">
        <v>25</v>
      </c>
      <c r="AE40" t="e">
        <f>VLOOKUP(Table591317[[#This Row],[Final]],'Round 4'!$X$19:$AG$27,3,0)</f>
        <v>#N/A</v>
      </c>
      <c r="AF40" t="e">
        <f>VLOOKUP(Table591317[[#This Row],[Final]],'Round 4'!$X$19:$AG$27,4,0)</f>
        <v>#N/A</v>
      </c>
      <c r="AG40" t="e">
        <f>VLOOKUP(Table591317[[#This Row],[Final]],'Round 4'!$X$19:$AG$27,10,0)</f>
        <v>#N/A</v>
      </c>
    </row>
  </sheetData>
  <sheetProtection sheet="1" objects="1" scenarios="1"/>
  <conditionalFormatting sqref="A2:D2">
    <cfRule type="expression" dxfId="869" priority="132">
      <formula>$D2&gt;$D4</formula>
    </cfRule>
    <cfRule type="expression" dxfId="868" priority="130">
      <formula>$D2&lt;$D4</formula>
    </cfRule>
    <cfRule type="expression" dxfId="867" priority="129">
      <formula>AND($D2=$D4,$A2&lt;$A4)</formula>
    </cfRule>
  </conditionalFormatting>
  <conditionalFormatting sqref="A4:D4">
    <cfRule type="expression" dxfId="866" priority="128">
      <formula>$D4&lt;$D2</formula>
    </cfRule>
    <cfRule type="expression" dxfId="865" priority="131">
      <formula>$D4&gt;$D2</formula>
    </cfRule>
    <cfRule type="expression" dxfId="864" priority="127">
      <formula>AND($D4=$D2,$A4&lt;$A2)</formula>
    </cfRule>
  </conditionalFormatting>
  <conditionalFormatting sqref="A6:D6 A10:D10 A14:D14 A18:D18 A22:D22 A26:D26 A30:D30">
    <cfRule type="expression" dxfId="863" priority="101">
      <formula>$D6&lt;$D8</formula>
    </cfRule>
    <cfRule type="expression" dxfId="862" priority="100">
      <formula>AND($D6=$D8,$A6&lt;$A8)</formula>
    </cfRule>
    <cfRule type="expression" dxfId="861" priority="102">
      <formula>$D6&gt;$D8</formula>
    </cfRule>
  </conditionalFormatting>
  <conditionalFormatting sqref="A8:D8 A12:D12 A16:D16 A20:D20 A24:D24 A28:D28 A32:D32">
    <cfRule type="expression" dxfId="860" priority="99">
      <formula>$D8&gt;$D6</formula>
    </cfRule>
    <cfRule type="expression" dxfId="859" priority="97">
      <formula>AND($D8=$D6,$A8&lt;$A6)</formula>
    </cfRule>
    <cfRule type="expression" dxfId="858" priority="98">
      <formula>$D8&lt;$D6</formula>
    </cfRule>
  </conditionalFormatting>
  <conditionalFormatting sqref="F3:I3">
    <cfRule type="expression" dxfId="857" priority="126">
      <formula>$I3&gt;$I7</formula>
    </cfRule>
    <cfRule type="expression" dxfId="856" priority="125">
      <formula>$I3&lt;$I7</formula>
    </cfRule>
    <cfRule type="expression" dxfId="855" priority="124">
      <formula>AND($I3=$I7,$F3&lt;$F7)</formula>
    </cfRule>
  </conditionalFormatting>
  <conditionalFormatting sqref="F7:I7">
    <cfRule type="expression" dxfId="854" priority="120">
      <formula>$I7&gt;$I3</formula>
    </cfRule>
    <cfRule type="expression" dxfId="853" priority="119">
      <formula>$I7&lt;$I3</formula>
    </cfRule>
    <cfRule type="expression" dxfId="852" priority="118">
      <formula>AND($I7=$I3,$F7&lt;$F3)</formula>
    </cfRule>
  </conditionalFormatting>
  <conditionalFormatting sqref="F11:I11 F19:I19 F27:I27">
    <cfRule type="expression" dxfId="851" priority="121">
      <formula>AND($I11=$I15,$F11&lt;$F15)</formula>
    </cfRule>
    <cfRule type="expression" dxfId="850" priority="123">
      <formula>$I11&gt;$I15</formula>
    </cfRule>
    <cfRule type="expression" dxfId="849" priority="122">
      <formula>$I11&lt;$I15</formula>
    </cfRule>
  </conditionalFormatting>
  <conditionalFormatting sqref="F15:I15 F23:I23 F31:I31">
    <cfRule type="expression" dxfId="848" priority="116">
      <formula>$I15&lt;$I11</formula>
    </cfRule>
    <cfRule type="expression" dxfId="847" priority="117">
      <formula>$I15&gt;$I11</formula>
    </cfRule>
    <cfRule type="expression" dxfId="846" priority="115">
      <formula>AND($I15=$I11,$F15&lt;$F11)</formula>
    </cfRule>
  </conditionalFormatting>
  <conditionalFormatting sqref="K5:N5">
    <cfRule type="expression" dxfId="845" priority="114">
      <formula>$N5&gt;$N13</formula>
    </cfRule>
    <cfRule type="expression" dxfId="844" priority="113">
      <formula>$N5&lt;$N13</formula>
    </cfRule>
    <cfRule type="expression" dxfId="843" priority="112">
      <formula>AND($N5=$N13,$K5&lt;$K13)</formula>
    </cfRule>
  </conditionalFormatting>
  <conditionalFormatting sqref="K13:N13">
    <cfRule type="expression" dxfId="842" priority="106">
      <formula>AND($N13=$N5,$K13&lt;$K5)</formula>
    </cfRule>
    <cfRule type="expression" dxfId="841" priority="108">
      <formula>$N13&gt;$N5</formula>
    </cfRule>
    <cfRule type="expression" dxfId="840" priority="107">
      <formula>$N13&lt;$N5</formula>
    </cfRule>
  </conditionalFormatting>
  <conditionalFormatting sqref="K21:N21">
    <cfRule type="expression" dxfId="839" priority="109">
      <formula>AND($N21=$N29,$K21&lt;$K29)</formula>
    </cfRule>
    <cfRule type="expression" dxfId="838" priority="111">
      <formula>$N21&gt;$N29</formula>
    </cfRule>
    <cfRule type="expression" dxfId="837" priority="110">
      <formula>$N21&lt;$N29</formula>
    </cfRule>
  </conditionalFormatting>
  <conditionalFormatting sqref="K29:N29">
    <cfRule type="expression" dxfId="836" priority="105">
      <formula>$N29&gt;$N21</formula>
    </cfRule>
    <cfRule type="expression" dxfId="835" priority="103">
      <formula>AND($N29=$N21,$K29&lt;$K21)</formula>
    </cfRule>
    <cfRule type="expression" dxfId="834" priority="104">
      <formula>$N29&lt;$N21</formula>
    </cfRule>
  </conditionalFormatting>
  <conditionalFormatting sqref="P9:S9">
    <cfRule type="expression" dxfId="833" priority="96">
      <formula>$S9&gt;$S25</formula>
    </cfRule>
    <cfRule type="expression" dxfId="832" priority="95">
      <formula>$S9&lt;$S25</formula>
    </cfRule>
    <cfRule type="expression" dxfId="831" priority="94">
      <formula>AND($S9=$S25,$P9&lt;$P25)</formula>
    </cfRule>
  </conditionalFormatting>
  <conditionalFormatting sqref="P25:S25">
    <cfRule type="expression" dxfId="830" priority="93">
      <formula>$S25&gt;$S9</formula>
    </cfRule>
    <cfRule type="expression" dxfId="829" priority="92">
      <formula>$S25&lt;$S9</formula>
    </cfRule>
    <cfRule type="expression" dxfId="828" priority="91">
      <formula>AND($S25=$S9,$P25&lt;$P9)</formula>
    </cfRule>
  </conditionalFormatting>
  <conditionalFormatting sqref="Y3:AB3">
    <cfRule type="expression" dxfId="827" priority="90">
      <formula>AND($AB3=$AB4,$Y3&lt;$Y4)</formula>
    </cfRule>
    <cfRule type="expression" dxfId="826" priority="89">
      <formula>$AB3&gt;$AB4</formula>
    </cfRule>
    <cfRule type="expression" dxfId="825" priority="88">
      <formula>$AB3&lt;$AB4</formula>
    </cfRule>
  </conditionalFormatting>
  <conditionalFormatting sqref="Y4:AB4">
    <cfRule type="expression" dxfId="824" priority="87">
      <formula>AND($AB4=$AB3,$Y4&lt;$Y3)</formula>
    </cfRule>
    <cfRule type="expression" dxfId="823" priority="86">
      <formula>$AB4&gt;$AB3</formula>
    </cfRule>
    <cfRule type="expression" dxfId="822" priority="85">
      <formula>$AB4&lt;$AB3</formula>
    </cfRule>
  </conditionalFormatting>
  <conditionalFormatting sqref="Y6:AB6">
    <cfRule type="expression" dxfId="821" priority="83">
      <formula>$AB6&gt;$AB7</formula>
    </cfRule>
    <cfRule type="expression" dxfId="820" priority="84">
      <formula>AND($AB6=$AB7,$Y6&lt;$Y7)</formula>
    </cfRule>
    <cfRule type="expression" dxfId="819" priority="82">
      <formula>$AB6&lt;$AB7</formula>
    </cfRule>
  </conditionalFormatting>
  <conditionalFormatting sqref="Y7:AB7">
    <cfRule type="expression" dxfId="818" priority="81">
      <formula>AND($AB7=$AB6,$Y7&lt;$Y6)</formula>
    </cfRule>
    <cfRule type="expression" dxfId="817" priority="80">
      <formula>$AB7&gt;$AB6</formula>
    </cfRule>
    <cfRule type="expression" dxfId="816" priority="79">
      <formula>$AB7&lt;$AB6</formula>
    </cfRule>
  </conditionalFormatting>
  <conditionalFormatting sqref="Y9:AB9">
    <cfRule type="expression" dxfId="815" priority="78">
      <formula>AND($AB9=$AB10,$Y9&lt;$Y10)</formula>
    </cfRule>
    <cfRule type="expression" dxfId="814" priority="77">
      <formula>$AB9&gt;$AB10</formula>
    </cfRule>
    <cfRule type="expression" dxfId="813" priority="76">
      <formula>$AB9&lt;$AB10</formula>
    </cfRule>
  </conditionalFormatting>
  <conditionalFormatting sqref="Y10:AB10">
    <cfRule type="expression" dxfId="812" priority="75">
      <formula>AND($AB10=$AB9,$Y10&lt;$Y9)</formula>
    </cfRule>
    <cfRule type="expression" dxfId="811" priority="74">
      <formula>$AB10&gt;$AB9</formula>
    </cfRule>
    <cfRule type="expression" dxfId="810" priority="73">
      <formula>$AB10&lt;$AB9</formula>
    </cfRule>
  </conditionalFormatting>
  <conditionalFormatting sqref="Y12:AB12">
    <cfRule type="expression" dxfId="809" priority="72">
      <formula>AND($AB12=$AB13,$Y12&lt;$Y13)</formula>
    </cfRule>
    <cfRule type="expression" dxfId="808" priority="70">
      <formula>$AB12&lt;$AB13</formula>
    </cfRule>
    <cfRule type="expression" dxfId="807" priority="71">
      <formula>$AB12&gt;$AB13</formula>
    </cfRule>
  </conditionalFormatting>
  <conditionalFormatting sqref="Y13:AB13">
    <cfRule type="expression" dxfId="806" priority="67">
      <formula>$AB13&lt;$AB12</formula>
    </cfRule>
    <cfRule type="expression" dxfId="805" priority="68">
      <formula>$AB13&gt;$AB12</formula>
    </cfRule>
    <cfRule type="expression" dxfId="804" priority="69">
      <formula>AND($AB13=$AB12,$Y13&lt;$Y12)</formula>
    </cfRule>
  </conditionalFormatting>
  <conditionalFormatting sqref="Y15:AB15">
    <cfRule type="expression" dxfId="803" priority="66">
      <formula>AND($AB15=$AB16,$Y15&lt;$Y16)</formula>
    </cfRule>
    <cfRule type="expression" dxfId="802" priority="65">
      <formula>$AB15&gt;$AB16</formula>
    </cfRule>
    <cfRule type="expression" dxfId="801" priority="64">
      <formula>$AB15&lt;$AB16</formula>
    </cfRule>
  </conditionalFormatting>
  <conditionalFormatting sqref="Y16:AB16">
    <cfRule type="expression" dxfId="800" priority="61">
      <formula>$AB16&lt;$AB15</formula>
    </cfRule>
    <cfRule type="expression" dxfId="799" priority="63">
      <formula>AND($AB16=$AB15,$Y16&lt;$Y15)</formula>
    </cfRule>
    <cfRule type="expression" dxfId="798" priority="62">
      <formula>$AB16&gt;$AB15</formula>
    </cfRule>
  </conditionalFormatting>
  <conditionalFormatting sqref="Y18:AB18">
    <cfRule type="expression" dxfId="797" priority="60">
      <formula>AND($AB18=$AB19,$Y18&lt;$Y19)</formula>
    </cfRule>
    <cfRule type="expression" dxfId="796" priority="59">
      <formula>$AB18&gt;$AB19</formula>
    </cfRule>
    <cfRule type="expression" dxfId="795" priority="58">
      <formula>$AB18&lt;$AB19</formula>
    </cfRule>
  </conditionalFormatting>
  <conditionalFormatting sqref="Y19:AB19">
    <cfRule type="expression" dxfId="794" priority="57">
      <formula>AND($AB19=$AB18,$Y19&lt;$Y18)</formula>
    </cfRule>
    <cfRule type="expression" dxfId="793" priority="56">
      <formula>$AB19&gt;$AB18</formula>
    </cfRule>
    <cfRule type="expression" dxfId="792" priority="55">
      <formula>$AB19&lt;$AB18</formula>
    </cfRule>
  </conditionalFormatting>
  <conditionalFormatting sqref="Y21:AB21">
    <cfRule type="expression" dxfId="791" priority="54">
      <formula>AND($AB21=$AB22,$Y21&lt;$Y22)</formula>
    </cfRule>
    <cfRule type="expression" dxfId="790" priority="53">
      <formula>$AB21&gt;$AB22</formula>
    </cfRule>
    <cfRule type="expression" dxfId="789" priority="52">
      <formula>$AB21&lt;$AB22</formula>
    </cfRule>
  </conditionalFormatting>
  <conditionalFormatting sqref="Y22:AB22">
    <cfRule type="expression" dxfId="788" priority="51">
      <formula>AND($AB22=$AB21,$Y22&lt;$Y21)</formula>
    </cfRule>
    <cfRule type="expression" dxfId="787" priority="50">
      <formula>$AB22&gt;$AB21</formula>
    </cfRule>
    <cfRule type="expression" dxfId="786" priority="49">
      <formula>$AB22&lt;$AB21</formula>
    </cfRule>
  </conditionalFormatting>
  <conditionalFormatting sqref="Y24:AB24">
    <cfRule type="expression" dxfId="785" priority="48">
      <formula>AND($AB24=$AB25,$Y24&lt;$Y25)</formula>
    </cfRule>
    <cfRule type="expression" dxfId="784" priority="47">
      <formula>$AB24&gt;$AB25</formula>
    </cfRule>
    <cfRule type="expression" dxfId="783" priority="46">
      <formula>$AB24&lt;$AB25</formula>
    </cfRule>
  </conditionalFormatting>
  <conditionalFormatting sqref="Y25:AB25">
    <cfRule type="expression" dxfId="782" priority="45">
      <formula>AND($AB25=$AB24,$Y25&lt;$Y24)</formula>
    </cfRule>
    <cfRule type="expression" dxfId="781" priority="44">
      <formula>$AB25&gt;$AB24</formula>
    </cfRule>
    <cfRule type="expression" dxfId="780" priority="43">
      <formula>$AB25&lt;$AB24</formula>
    </cfRule>
  </conditionalFormatting>
  <conditionalFormatting sqref="Y27:AB27">
    <cfRule type="expression" dxfId="779" priority="42">
      <formula>AND($AB27=$AB28,$Y27&lt;$Y28)</formula>
    </cfRule>
    <cfRule type="expression" dxfId="778" priority="41">
      <formula>$AB27&gt;$AB28</formula>
    </cfRule>
    <cfRule type="expression" dxfId="777" priority="40">
      <formula>$AB27&lt;$AB28</formula>
    </cfRule>
  </conditionalFormatting>
  <conditionalFormatting sqref="Y28:AB28">
    <cfRule type="expression" dxfId="776" priority="39">
      <formula>AND($AB28=$AB27,$Y28&lt;$Y27)</formula>
    </cfRule>
    <cfRule type="expression" dxfId="775" priority="38">
      <formula>$AB28&gt;$AB27</formula>
    </cfRule>
    <cfRule type="expression" dxfId="774" priority="37">
      <formula>$AB28&lt;$AB27</formula>
    </cfRule>
  </conditionalFormatting>
  <conditionalFormatting sqref="Y30:AB30">
    <cfRule type="expression" dxfId="773" priority="36">
      <formula>AND($AB30=$AB31,$Y30&lt;$Y31)</formula>
    </cfRule>
    <cfRule type="expression" dxfId="772" priority="35">
      <formula>$AB30&gt;$AB31</formula>
    </cfRule>
    <cfRule type="expression" dxfId="771" priority="34">
      <formula>$AB30&lt;$AB31</formula>
    </cfRule>
  </conditionalFormatting>
  <conditionalFormatting sqref="Y31:AB31">
    <cfRule type="expression" dxfId="770" priority="33">
      <formula>AND($AB31=$AB30,$Y31&lt;$Y30)</formula>
    </cfRule>
    <cfRule type="expression" dxfId="769" priority="32">
      <formula>$AB31&gt;$AB30</formula>
    </cfRule>
    <cfRule type="expression" dxfId="768" priority="31">
      <formula>$AB31&lt;$AB30</formula>
    </cfRule>
  </conditionalFormatting>
  <conditionalFormatting sqref="Y33:AB33">
    <cfRule type="expression" dxfId="767" priority="30">
      <formula>AND($AB33=$AB34,$Y33&lt;$Y34)</formula>
    </cfRule>
    <cfRule type="expression" dxfId="766" priority="29">
      <formula>$AB33&gt;$AB34</formula>
    </cfRule>
    <cfRule type="expression" dxfId="765" priority="28">
      <formula>$AB33&lt;$AB34</formula>
    </cfRule>
  </conditionalFormatting>
  <conditionalFormatting sqref="Y34:AB34">
    <cfRule type="expression" dxfId="764" priority="27">
      <formula>AND($AB34=$AB33,$Y34&lt;$Y33)</formula>
    </cfRule>
    <cfRule type="expression" dxfId="763" priority="26">
      <formula>$AB34&gt;$AB33</formula>
    </cfRule>
    <cfRule type="expression" dxfId="762" priority="25">
      <formula>$AB34&lt;$AB33</formula>
    </cfRule>
  </conditionalFormatting>
  <conditionalFormatting sqref="Y36:AB36">
    <cfRule type="expression" dxfId="761" priority="24">
      <formula>AND($AB36=$AB37,$Y36&lt;$Y37)</formula>
    </cfRule>
    <cfRule type="expression" dxfId="760" priority="23">
      <formula>$AB36&gt;$AB37</formula>
    </cfRule>
    <cfRule type="expression" dxfId="759" priority="22">
      <formula>$AB36&lt;$AB37</formula>
    </cfRule>
  </conditionalFormatting>
  <conditionalFormatting sqref="Y37:AB37">
    <cfRule type="expression" dxfId="758" priority="19">
      <formula>$AB37&lt;$AB36</formula>
    </cfRule>
    <cfRule type="expression" dxfId="757" priority="20">
      <formula>$AB37&gt;$AB36</formula>
    </cfRule>
    <cfRule type="expression" dxfId="756" priority="21">
      <formula>AND($AB37=$AB36,$Y37&lt;$Y36)</formula>
    </cfRule>
  </conditionalFormatting>
  <conditionalFormatting sqref="AD3:AG3 AD12:AG12">
    <cfRule type="expression" dxfId="755" priority="17">
      <formula>$AG3&gt;$AG4</formula>
    </cfRule>
    <cfRule type="expression" dxfId="754" priority="18">
      <formula>AND($AG3=$AG4,$AD3&lt;$AD4)</formula>
    </cfRule>
    <cfRule type="expression" dxfId="753" priority="16">
      <formula>$AG3&lt;$AG4</formula>
    </cfRule>
  </conditionalFormatting>
  <conditionalFormatting sqref="AD4:AG4 AD13:AG13">
    <cfRule type="expression" dxfId="752" priority="15">
      <formula>AND($AG4=$AG3,$AD4&lt;$AD3)</formula>
    </cfRule>
    <cfRule type="expression" dxfId="751" priority="14">
      <formula>$AG4&gt;$AG3</formula>
    </cfRule>
    <cfRule type="expression" dxfId="750" priority="13">
      <formula>$AG4&lt;$AG3</formula>
    </cfRule>
  </conditionalFormatting>
  <conditionalFormatting sqref="AD6:AG6">
    <cfRule type="expression" dxfId="749" priority="12">
      <formula>AND($AG6=$AG7,$AD6&lt;$AD7)</formula>
    </cfRule>
    <cfRule type="expression" dxfId="748" priority="11">
      <formula>$AG6&gt;$AG7</formula>
    </cfRule>
    <cfRule type="expression" dxfId="747" priority="10">
      <formula>$AG6&lt;$AG7</formula>
    </cfRule>
  </conditionalFormatting>
  <conditionalFormatting sqref="AD7:AG7">
    <cfRule type="expression" dxfId="746" priority="9">
      <formula>AND($AG7=$AG6,$AD7&lt;$AD6)</formula>
    </cfRule>
    <cfRule type="expression" dxfId="745" priority="8">
      <formula>$AG7&gt;$AG6</formula>
    </cfRule>
    <cfRule type="expression" dxfId="744" priority="7">
      <formula>$AG7&lt;$AG6</formula>
    </cfRule>
  </conditionalFormatting>
  <conditionalFormatting sqref="AD9:AG9">
    <cfRule type="expression" dxfId="743" priority="4">
      <formula>$AG9&lt;$AG10</formula>
    </cfRule>
    <cfRule type="expression" dxfId="742" priority="6">
      <formula>AND($AG9=$AG10,$AD9&lt;$AD10)</formula>
    </cfRule>
    <cfRule type="expression" dxfId="741" priority="5">
      <formula>$AG9&gt;$AG10</formula>
    </cfRule>
  </conditionalFormatting>
  <conditionalFormatting sqref="AD10:AG10">
    <cfRule type="expression" dxfId="740" priority="3">
      <formula>AND($AG10=$AG9,$AD10&lt;$AD9)</formula>
    </cfRule>
    <cfRule type="expression" dxfId="739" priority="1">
      <formula>$AG10&lt;$AG9</formula>
    </cfRule>
    <cfRule type="expression" dxfId="738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3CC78-04C8-4D67-AFF1-28591EEEFDFD}">
  <sheetPr>
    <pageSetUpPr fitToPage="1"/>
  </sheetPr>
  <dimension ref="A1:W33"/>
  <sheetViews>
    <sheetView tabSelected="1" zoomScale="57" workbookViewId="0">
      <selection activeCell="G10" sqref="G10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4 Finals'!A1</f>
        <v>Q Pos</v>
      </c>
      <c r="B1" t="str">
        <f>'Round 4 Finals'!B1</f>
        <v>#</v>
      </c>
      <c r="C1" t="str">
        <f>'Round 4 Finals'!C1</f>
        <v>Name</v>
      </c>
      <c r="D1" t="str">
        <f>'Round 4 Finals'!D1</f>
        <v>Score</v>
      </c>
      <c r="F1" t="str">
        <f>'Round 4 Finals'!F1</f>
        <v>Q</v>
      </c>
      <c r="G1" t="str">
        <f>'Round 4 Finals'!G1</f>
        <v>#</v>
      </c>
      <c r="K1" t="str">
        <f>'Round 4 Finals'!K1</f>
        <v>Q</v>
      </c>
      <c r="L1" t="str">
        <f>'Round 4 Finals'!L1</f>
        <v>#</v>
      </c>
      <c r="P1" t="str">
        <f>'Round 4 Finals'!P1</f>
        <v>Q</v>
      </c>
      <c r="Q1" t="str">
        <f>'Round 4 Finals'!Q1</f>
        <v>#</v>
      </c>
      <c r="V1" t="str">
        <f>'Round 4 Finals'!V1</f>
        <v>#</v>
      </c>
    </row>
    <row r="2" spans="1:22" x14ac:dyDescent="0.3">
      <c r="A2" s="1">
        <f>'Round 4 Finals'!A2</f>
        <v>1</v>
      </c>
      <c r="B2" s="1">
        <f>'Round 4 Finals'!B2</f>
        <v>93</v>
      </c>
      <c r="C2" s="1" t="str">
        <f>'Round 4 Finals'!C2</f>
        <v>Josh King</v>
      </c>
      <c r="D2" s="1">
        <f>'Round 4 Finals'!D2</f>
        <v>3</v>
      </c>
      <c r="E2" s="2"/>
    </row>
    <row r="3" spans="1:22" x14ac:dyDescent="0.3">
      <c r="A3" s="3"/>
      <c r="E3" s="2"/>
      <c r="F3" s="1">
        <f>'Round 4 Finals'!F3</f>
        <v>1</v>
      </c>
      <c r="G3" s="1">
        <f>'Round 4 Finals'!G3</f>
        <v>93</v>
      </c>
      <c r="H3" s="1" t="str">
        <f>'Round 4 Finals'!H3</f>
        <v>Josh King</v>
      </c>
      <c r="I3" s="1">
        <f>'Round 4 Finals'!I3</f>
        <v>3</v>
      </c>
      <c r="J3" s="2"/>
    </row>
    <row r="4" spans="1:22" x14ac:dyDescent="0.3">
      <c r="A4" s="1">
        <f>'Round 4 Finals'!A4</f>
        <v>16</v>
      </c>
      <c r="B4" s="1">
        <f>'Round 4 Finals'!B4</f>
        <v>39</v>
      </c>
      <c r="C4" s="1" t="str">
        <f>'Round 4 Finals'!C4</f>
        <v>Paul Beechey</v>
      </c>
      <c r="D4" s="1">
        <f>'Round 4 Finals'!D4</f>
        <v>0</v>
      </c>
      <c r="E4" s="2"/>
      <c r="J4" s="2"/>
    </row>
    <row r="5" spans="1:22" x14ac:dyDescent="0.3">
      <c r="J5" s="2"/>
      <c r="K5" s="1">
        <f>'Round 4 Finals'!K5</f>
        <v>1</v>
      </c>
      <c r="L5" s="1">
        <f>'Round 4 Finals'!L5</f>
        <v>93</v>
      </c>
      <c r="M5" s="1" t="str">
        <f>'Round 4 Finals'!M5</f>
        <v>Josh King</v>
      </c>
      <c r="N5" s="1">
        <f>'Round 4 Finals'!N5</f>
        <v>0</v>
      </c>
      <c r="O5" s="2"/>
    </row>
    <row r="6" spans="1:22" x14ac:dyDescent="0.3">
      <c r="A6" s="1">
        <f>'Round 4 Finals'!A6</f>
        <v>8</v>
      </c>
      <c r="B6" s="1">
        <f>'Round 4 Finals'!B6</f>
        <v>20</v>
      </c>
      <c r="C6" s="1" t="str">
        <f>'Round 4 Finals'!C6</f>
        <v>Ryan Hughes</v>
      </c>
      <c r="D6" s="1">
        <f>'Round 4 Finals'!D6</f>
        <v>3</v>
      </c>
      <c r="E6" s="2"/>
      <c r="J6" s="2"/>
      <c r="O6" s="2"/>
    </row>
    <row r="7" spans="1:22" x14ac:dyDescent="0.3">
      <c r="A7" s="3"/>
      <c r="E7" s="2"/>
      <c r="F7" s="1">
        <f>'Round 4 Finals'!F7</f>
        <v>8</v>
      </c>
      <c r="G7" s="1">
        <f>'Round 4 Finals'!G7</f>
        <v>20</v>
      </c>
      <c r="H7" s="1" t="str">
        <f>'Round 4 Finals'!H7</f>
        <v>Ryan Hughes</v>
      </c>
      <c r="I7" s="1">
        <f>'Round 4 Finals'!I7</f>
        <v>0</v>
      </c>
      <c r="J7" s="2"/>
      <c r="O7" s="2"/>
    </row>
    <row r="8" spans="1:22" x14ac:dyDescent="0.3">
      <c r="A8" s="1">
        <f>'Round 4 Finals'!A8</f>
        <v>9</v>
      </c>
      <c r="B8" s="1">
        <f>'Round 4 Finals'!B8</f>
        <v>56</v>
      </c>
      <c r="C8" s="1" t="str">
        <f>'Round 4 Finals'!C8</f>
        <v>Jonathan Smith</v>
      </c>
      <c r="D8" s="1">
        <f>'Round 4 Finals'!D8</f>
        <v>0</v>
      </c>
      <c r="E8" s="2"/>
      <c r="O8" s="2"/>
    </row>
    <row r="9" spans="1:22" x14ac:dyDescent="0.3">
      <c r="O9" s="2"/>
      <c r="P9" s="1">
        <f>'Round 4 Finals'!P9</f>
        <v>5</v>
      </c>
      <c r="Q9" s="1">
        <f>'Round 4 Finals'!Q9</f>
        <v>265</v>
      </c>
      <c r="R9" s="1" t="str">
        <f>'Round 4 Finals'!R9</f>
        <v>Axel Hildebrand</v>
      </c>
      <c r="S9" s="1">
        <f>'Round 4 Finals'!S9</f>
        <v>0</v>
      </c>
      <c r="T9" s="2"/>
    </row>
    <row r="10" spans="1:22" x14ac:dyDescent="0.3">
      <c r="A10" s="1">
        <f>'Round 4 Finals'!A10</f>
        <v>4</v>
      </c>
      <c r="B10" s="1">
        <f>'Round 4 Finals'!B10</f>
        <v>86</v>
      </c>
      <c r="C10" s="1" t="str">
        <f>'Round 4 Finals'!C10</f>
        <v>David Bastin</v>
      </c>
      <c r="D10" s="1">
        <f>'Round 4 Finals'!D10</f>
        <v>3</v>
      </c>
      <c r="E10" s="2"/>
      <c r="O10" s="2"/>
      <c r="T10" s="2"/>
    </row>
    <row r="11" spans="1:22" x14ac:dyDescent="0.3">
      <c r="A11" s="3"/>
      <c r="E11" s="2"/>
      <c r="F11" s="1">
        <f>'Round 4 Finals'!F11</f>
        <v>4</v>
      </c>
      <c r="G11" s="1">
        <f>'Round 4 Finals'!G11</f>
        <v>86</v>
      </c>
      <c r="H11" s="1" t="str">
        <f>'Round 4 Finals'!H11</f>
        <v>David Bastin</v>
      </c>
      <c r="I11" s="1">
        <f>'Round 4 Finals'!I11</f>
        <v>0</v>
      </c>
      <c r="J11" s="2"/>
      <c r="O11" s="2"/>
      <c r="T11" s="2"/>
    </row>
    <row r="12" spans="1:22" x14ac:dyDescent="0.3">
      <c r="A12" s="1">
        <f>'Round 4 Finals'!A12</f>
        <v>13</v>
      </c>
      <c r="B12" s="1">
        <f>'Round 4 Finals'!B12</f>
        <v>420</v>
      </c>
      <c r="C12" s="1" t="str">
        <f>'Round 4 Finals'!C12</f>
        <v>Harry Love</v>
      </c>
      <c r="D12" s="1">
        <f>'Round 4 Finals'!D12</f>
        <v>0</v>
      </c>
      <c r="E12" s="2"/>
      <c r="J12" s="2"/>
      <c r="O12" s="2"/>
      <c r="T12" s="2"/>
    </row>
    <row r="13" spans="1:22" x14ac:dyDescent="0.3">
      <c r="J13" s="2"/>
      <c r="K13" s="1">
        <f>'Round 4 Finals'!K13</f>
        <v>5</v>
      </c>
      <c r="L13" s="1">
        <f>'Round 4 Finals'!L13</f>
        <v>265</v>
      </c>
      <c r="M13" s="1" t="str">
        <f>'Round 4 Finals'!M13</f>
        <v>Axel Hildebrand</v>
      </c>
      <c r="N13" s="1">
        <f>'Round 4 Finals'!N13</f>
        <v>3</v>
      </c>
      <c r="O13" s="2"/>
      <c r="T13" s="2"/>
    </row>
    <row r="14" spans="1:22" x14ac:dyDescent="0.3">
      <c r="A14" s="1">
        <f>'Round 4 Finals'!A14</f>
        <v>5</v>
      </c>
      <c r="B14" s="1">
        <f>'Round 4 Finals'!B14</f>
        <v>265</v>
      </c>
      <c r="C14" s="1" t="str">
        <f>'Round 4 Finals'!C14</f>
        <v>Axel Hildebrand</v>
      </c>
      <c r="D14" s="1">
        <f>'Round 4 Finals'!D14</f>
        <v>3</v>
      </c>
      <c r="E14" s="2"/>
      <c r="J14" s="2"/>
      <c r="T14" s="2"/>
    </row>
    <row r="15" spans="1:22" x14ac:dyDescent="0.3">
      <c r="A15" s="3"/>
      <c r="E15" s="2"/>
      <c r="F15" s="1">
        <f>'Round 4 Finals'!F15</f>
        <v>5</v>
      </c>
      <c r="G15" s="1">
        <f>'Round 4 Finals'!G15</f>
        <v>265</v>
      </c>
      <c r="H15" s="1" t="str">
        <f>'Round 4 Finals'!H15</f>
        <v>Axel Hildebrand</v>
      </c>
      <c r="I15" s="1">
        <f>'Round 4 Finals'!I15</f>
        <v>3</v>
      </c>
      <c r="J15" s="2"/>
      <c r="T15" s="2"/>
    </row>
    <row r="16" spans="1:22" x14ac:dyDescent="0.3">
      <c r="A16" s="1">
        <f>'Round 4 Finals'!A16</f>
        <v>12</v>
      </c>
      <c r="B16" s="1">
        <f>'Round 4 Finals'!B16</f>
        <v>26</v>
      </c>
      <c r="C16" s="1" t="str">
        <f>'Round 4 Finals'!C16</f>
        <v>Haydn Cruickshank</v>
      </c>
      <c r="D16" s="1">
        <f>'Round 4 Finals'!D16</f>
        <v>0</v>
      </c>
      <c r="E16" s="2"/>
      <c r="T16" s="2"/>
    </row>
    <row r="17" spans="1:23" x14ac:dyDescent="0.3">
      <c r="T17" s="2"/>
      <c r="U17" s="5">
        <f>'Round 4 Finals'!U17</f>
        <v>2</v>
      </c>
      <c r="V17" s="5">
        <f>'Round 4 Finals'!V17</f>
        <v>128</v>
      </c>
      <c r="W17" s="5" t="str">
        <f>'Round 4 Finals'!W17</f>
        <v>Lwi Edwards</v>
      </c>
    </row>
    <row r="18" spans="1:23" x14ac:dyDescent="0.3">
      <c r="A18" s="1">
        <f>'Round 4 Finals'!A18</f>
        <v>2</v>
      </c>
      <c r="B18" s="1">
        <f>'Round 4 Finals'!B18</f>
        <v>128</v>
      </c>
      <c r="C18" s="1" t="str">
        <f>'Round 4 Finals'!C18</f>
        <v>Lwi Edwards</v>
      </c>
      <c r="D18" s="1">
        <f>'Round 4 Finals'!D18</f>
        <v>3</v>
      </c>
      <c r="E18" s="2"/>
      <c r="T18" s="2"/>
    </row>
    <row r="19" spans="1:23" x14ac:dyDescent="0.3">
      <c r="A19" s="3"/>
      <c r="E19" s="2"/>
      <c r="F19" s="1">
        <f>'Round 4 Finals'!F19</f>
        <v>2</v>
      </c>
      <c r="G19" s="1">
        <f>'Round 4 Finals'!G19</f>
        <v>128</v>
      </c>
      <c r="H19" s="1" t="str">
        <f>'Round 4 Finals'!H19</f>
        <v>Lwi Edwards</v>
      </c>
      <c r="I19" s="1">
        <f>'Round 4 Finals'!I19</f>
        <v>3</v>
      </c>
      <c r="J19" s="2"/>
      <c r="T19" s="2"/>
    </row>
    <row r="20" spans="1:23" x14ac:dyDescent="0.3">
      <c r="A20" s="1">
        <f>'Round 4 Finals'!A20</f>
        <v>15</v>
      </c>
      <c r="B20" s="1">
        <f>'Round 4 Finals'!B20</f>
        <v>206</v>
      </c>
      <c r="C20" s="1" t="str">
        <f>'Round 4 Finals'!C20</f>
        <v>Matthew Roberts</v>
      </c>
      <c r="D20" s="1">
        <f>'Round 4 Finals'!D20</f>
        <v>0</v>
      </c>
      <c r="E20" s="2"/>
      <c r="J20" s="2"/>
      <c r="T20" s="2"/>
    </row>
    <row r="21" spans="1:23" x14ac:dyDescent="0.3">
      <c r="J21" s="2"/>
      <c r="K21" s="1">
        <f>'Round 4 Finals'!K21</f>
        <v>2</v>
      </c>
      <c r="L21" s="1">
        <f>'Round 4 Finals'!L21</f>
        <v>128</v>
      </c>
      <c r="M21" s="1" t="str">
        <f>'Round 4 Finals'!M21</f>
        <v>Lwi Edwards</v>
      </c>
      <c r="N21" s="1">
        <f>'Round 4 Finals'!N21</f>
        <v>3</v>
      </c>
      <c r="O21" s="2"/>
      <c r="T21" s="2"/>
    </row>
    <row r="22" spans="1:23" x14ac:dyDescent="0.3">
      <c r="A22" s="1">
        <f>'Round 4 Finals'!A22</f>
        <v>7</v>
      </c>
      <c r="B22" s="1">
        <f>'Round 4 Finals'!B22</f>
        <v>61</v>
      </c>
      <c r="C22" s="1" t="str">
        <f>'Round 4 Finals'!C22</f>
        <v>Martin Richards</v>
      </c>
      <c r="D22" s="1">
        <f>'Round 4 Finals'!D22</f>
        <v>3</v>
      </c>
      <c r="E22" s="2"/>
      <c r="J22" s="2"/>
      <c r="O22" s="2"/>
      <c r="T22" s="2"/>
    </row>
    <row r="23" spans="1:23" x14ac:dyDescent="0.3">
      <c r="A23" s="3"/>
      <c r="E23" s="2"/>
      <c r="F23" s="1">
        <f>'Round 4 Finals'!F23</f>
        <v>7</v>
      </c>
      <c r="G23" s="1">
        <f>'Round 4 Finals'!G23</f>
        <v>61</v>
      </c>
      <c r="H23" s="1" t="str">
        <f>'Round 4 Finals'!H23</f>
        <v>Martin Richards</v>
      </c>
      <c r="I23" s="1">
        <f>'Round 4 Finals'!I23</f>
        <v>0</v>
      </c>
      <c r="J23" s="2"/>
      <c r="O23" s="2"/>
      <c r="T23" s="2"/>
    </row>
    <row r="24" spans="1:23" x14ac:dyDescent="0.3">
      <c r="A24" s="1">
        <f>'Round 4 Finals'!A24</f>
        <v>10</v>
      </c>
      <c r="B24" s="1">
        <f>'Round 4 Finals'!B24</f>
        <v>66</v>
      </c>
      <c r="C24" s="1" t="str">
        <f>'Round 4 Finals'!C24</f>
        <v>Andy Frost</v>
      </c>
      <c r="D24" s="1">
        <f>'Round 4 Finals'!D24</f>
        <v>0</v>
      </c>
      <c r="E24" s="2"/>
      <c r="O24" s="2"/>
      <c r="T24" s="2"/>
    </row>
    <row r="25" spans="1:23" x14ac:dyDescent="0.3">
      <c r="O25" s="2"/>
      <c r="P25" s="1">
        <f>'Round 4 Finals'!P25</f>
        <v>2</v>
      </c>
      <c r="Q25" s="1">
        <f>'Round 4 Finals'!Q25</f>
        <v>128</v>
      </c>
      <c r="R25" s="1" t="str">
        <f>'Round 4 Finals'!R25</f>
        <v>Lwi Edwards</v>
      </c>
      <c r="S25" s="1">
        <f>'Round 4 Finals'!S25</f>
        <v>3</v>
      </c>
      <c r="T25" s="2"/>
    </row>
    <row r="26" spans="1:23" x14ac:dyDescent="0.3">
      <c r="A26" s="1">
        <f>'Round 4 Finals'!A26</f>
        <v>3</v>
      </c>
      <c r="B26" s="1">
        <f>'Round 4 Finals'!B26</f>
        <v>55</v>
      </c>
      <c r="C26" s="1" t="str">
        <f>'Round 4 Finals'!C26</f>
        <v>Oliver Evans</v>
      </c>
      <c r="D26" s="1">
        <f>'Round 4 Finals'!D26</f>
        <v>3</v>
      </c>
      <c r="E26" s="2"/>
      <c r="O26" s="2"/>
    </row>
    <row r="27" spans="1:23" x14ac:dyDescent="0.3">
      <c r="A27" s="3"/>
      <c r="E27" s="2"/>
      <c r="F27" s="1">
        <f>'Round 4 Finals'!F27</f>
        <v>3</v>
      </c>
      <c r="G27" s="1">
        <f>'Round 4 Finals'!G27</f>
        <v>55</v>
      </c>
      <c r="H27" s="1" t="str">
        <f>'Round 4 Finals'!H27</f>
        <v>Oliver Evans</v>
      </c>
      <c r="I27" s="1">
        <f>'Round 4 Finals'!I27</f>
        <v>3</v>
      </c>
      <c r="J27" s="2"/>
      <c r="O27" s="2"/>
    </row>
    <row r="28" spans="1:23" x14ac:dyDescent="0.3">
      <c r="A28" s="1">
        <f>'Round 4 Finals'!A28</f>
        <v>14</v>
      </c>
      <c r="B28" s="1">
        <f>'Round 4 Finals'!B28</f>
        <v>157</v>
      </c>
      <c r="C28" s="1" t="str">
        <f>'Round 4 Finals'!C28</f>
        <v>George Barclay</v>
      </c>
      <c r="D28" s="1">
        <f>'Round 4 Finals'!D28</f>
        <v>0</v>
      </c>
      <c r="E28" s="2"/>
      <c r="J28" s="2"/>
      <c r="O28" s="2"/>
    </row>
    <row r="29" spans="1:23" x14ac:dyDescent="0.3">
      <c r="J29" s="2"/>
      <c r="K29" s="1">
        <f>'Round 4 Finals'!K29</f>
        <v>3</v>
      </c>
      <c r="L29" s="1">
        <f>'Round 4 Finals'!L29</f>
        <v>55</v>
      </c>
      <c r="M29" s="1" t="str">
        <f>'Round 4 Finals'!M29</f>
        <v>Oliver Evans</v>
      </c>
      <c r="N29" s="1">
        <f>'Round 4 Finals'!N29</f>
        <v>0</v>
      </c>
      <c r="O29" s="2"/>
    </row>
    <row r="30" spans="1:23" x14ac:dyDescent="0.3">
      <c r="A30" s="1">
        <f>'Round 4 Finals'!A30</f>
        <v>6</v>
      </c>
      <c r="B30" s="1">
        <f>'Round 4 Finals'!B30</f>
        <v>112</v>
      </c>
      <c r="C30" s="1" t="str">
        <f>'Round 4 Finals'!C30</f>
        <v>Nathan Chivers</v>
      </c>
      <c r="D30" s="1">
        <f>'Round 4 Finals'!D30</f>
        <v>0</v>
      </c>
      <c r="E30" s="2"/>
      <c r="J30" s="2"/>
    </row>
    <row r="31" spans="1:23" x14ac:dyDescent="0.3">
      <c r="A31" s="3"/>
      <c r="E31" s="2"/>
      <c r="F31" s="1">
        <f>'Round 4 Finals'!F31</f>
        <v>11</v>
      </c>
      <c r="G31" s="1">
        <f>'Round 4 Finals'!G31</f>
        <v>41</v>
      </c>
      <c r="H31" s="1" t="str">
        <f>'Round 4 Finals'!H31</f>
        <v>Ian Phillips</v>
      </c>
      <c r="I31" s="1">
        <f>'Round 4 Finals'!I31</f>
        <v>0</v>
      </c>
      <c r="J31" s="2"/>
      <c r="P31" s="1">
        <f>'Round 4 Finals'!P31</f>
        <v>1</v>
      </c>
      <c r="Q31" s="1">
        <f>'Round 4 Finals'!Q31</f>
        <v>93</v>
      </c>
      <c r="R31" s="1" t="str">
        <f>'Round 4 Finals'!R31</f>
        <v>Josh King</v>
      </c>
      <c r="S31" s="1">
        <f>'Round 4 Finals'!S31</f>
        <v>0</v>
      </c>
      <c r="T31" s="2"/>
    </row>
    <row r="32" spans="1:23" x14ac:dyDescent="0.3">
      <c r="A32" s="1">
        <f>'Round 4 Finals'!A32</f>
        <v>11</v>
      </c>
      <c r="B32" s="1">
        <f>'Round 4 Finals'!B32</f>
        <v>41</v>
      </c>
      <c r="C32" s="1" t="str">
        <f>'Round 4 Finals'!C32</f>
        <v>Ian Phillips</v>
      </c>
      <c r="D32" s="1">
        <f>'Round 4 Finals'!D32</f>
        <v>3</v>
      </c>
      <c r="E32" s="2"/>
      <c r="T32" s="2"/>
      <c r="U32" s="1"/>
      <c r="V32" s="1">
        <f>'Round 4 Finals'!V32</f>
        <v>55</v>
      </c>
      <c r="W32" s="1" t="str">
        <f>'Round 4 Finals'!W32</f>
        <v>Oliver Evans</v>
      </c>
    </row>
    <row r="33" spans="16:20" x14ac:dyDescent="0.3">
      <c r="P33" s="1">
        <f>'Round 4 Finals'!P33</f>
        <v>3</v>
      </c>
      <c r="Q33" s="1">
        <f>'Round 4 Finals'!Q33</f>
        <v>55</v>
      </c>
      <c r="R33" s="1" t="str">
        <f>'Round 4 Finals'!R33</f>
        <v>Oliver Evans</v>
      </c>
      <c r="S33" s="1">
        <f>'Round 4 Finals'!S33</f>
        <v>3</v>
      </c>
      <c r="T33" s="2"/>
    </row>
  </sheetData>
  <sheetProtection sheet="1" objects="1" scenarios="1"/>
  <conditionalFormatting sqref="A2:D2">
    <cfRule type="expression" dxfId="737" priority="39">
      <formula>AND($D2=$D4,$A2&lt;$A4)</formula>
    </cfRule>
    <cfRule type="expression" dxfId="736" priority="42">
      <formula>$D2&gt;$D4</formula>
    </cfRule>
    <cfRule type="expression" dxfId="735" priority="40">
      <formula>$D2&lt;$D4</formula>
    </cfRule>
  </conditionalFormatting>
  <conditionalFormatting sqref="A4:D4">
    <cfRule type="expression" dxfId="734" priority="38">
      <formula>$D4&lt;$D2</formula>
    </cfRule>
    <cfRule type="expression" dxfId="733" priority="37">
      <formula>AND($D4=$D2,$A4&lt;$A2)</formula>
    </cfRule>
    <cfRule type="expression" dxfId="732" priority="41">
      <formula>$D4&gt;$D2</formula>
    </cfRule>
  </conditionalFormatting>
  <conditionalFormatting sqref="A6:D6 A10:D10 A14:D14 A18:D18 A22:D22 A26:D26 A30:D30">
    <cfRule type="expression" dxfId="731" priority="11">
      <formula>$D6&lt;$D8</formula>
    </cfRule>
    <cfRule type="expression" dxfId="730" priority="10">
      <formula>AND($D6=$D8,$A6&lt;$A8)</formula>
    </cfRule>
    <cfRule type="expression" dxfId="729" priority="12">
      <formula>$D6&gt;$D8</formula>
    </cfRule>
  </conditionalFormatting>
  <conditionalFormatting sqref="A8:D8 A12:D12 A16:D16 A20:D20 A24:D24 A28:D28 A32:D32">
    <cfRule type="expression" dxfId="728" priority="7">
      <formula>AND($D8=$D6,$A8&lt;$A6)</formula>
    </cfRule>
    <cfRule type="expression" dxfId="727" priority="8">
      <formula>$D8&lt;$D6</formula>
    </cfRule>
    <cfRule type="expression" dxfId="726" priority="9">
      <formula>$D8&gt;$D6</formula>
    </cfRule>
  </conditionalFormatting>
  <conditionalFormatting sqref="F3:I3">
    <cfRule type="expression" dxfId="725" priority="36">
      <formula>$I3&gt;$I7</formula>
    </cfRule>
    <cfRule type="expression" dxfId="724" priority="35">
      <formula>$I3&lt;$I7</formula>
    </cfRule>
    <cfRule type="expression" dxfId="723" priority="34">
      <formula>AND($I3=$I7,$F3&lt;$F7)</formula>
    </cfRule>
  </conditionalFormatting>
  <conditionalFormatting sqref="F7:I7">
    <cfRule type="expression" dxfId="722" priority="30">
      <formula>$I7&gt;$I3</formula>
    </cfRule>
    <cfRule type="expression" dxfId="721" priority="29">
      <formula>$I7&lt;$I3</formula>
    </cfRule>
    <cfRule type="expression" dxfId="720" priority="28">
      <formula>AND($I7=$I3,$F7&lt;$F3)</formula>
    </cfRule>
  </conditionalFormatting>
  <conditionalFormatting sqref="F11:I11 F19:I19 F27:I27">
    <cfRule type="expression" dxfId="719" priority="33">
      <formula>$I11&gt;$I15</formula>
    </cfRule>
    <cfRule type="expression" dxfId="718" priority="31">
      <formula>AND($I11=$I15,$F11&lt;$F15)</formula>
    </cfRule>
    <cfRule type="expression" dxfId="717" priority="32">
      <formula>$I11&lt;$I15</formula>
    </cfRule>
  </conditionalFormatting>
  <conditionalFormatting sqref="F15:I15 F23:I23 F31:I31">
    <cfRule type="expression" dxfId="716" priority="27">
      <formula>$I15&gt;$I11</formula>
    </cfRule>
    <cfRule type="expression" dxfId="715" priority="26">
      <formula>$I15&lt;$I11</formula>
    </cfRule>
    <cfRule type="expression" dxfId="714" priority="25">
      <formula>AND($I15=$I11,$F15&lt;$F11)</formula>
    </cfRule>
  </conditionalFormatting>
  <conditionalFormatting sqref="K5:N5">
    <cfRule type="expression" dxfId="713" priority="22">
      <formula>AND($N5=$N13,$K5&lt;$K13)</formula>
    </cfRule>
    <cfRule type="expression" dxfId="712" priority="23">
      <formula>$N5&lt;$N13</formula>
    </cfRule>
    <cfRule type="expression" dxfId="711" priority="24">
      <formula>$N5&gt;$N13</formula>
    </cfRule>
  </conditionalFormatting>
  <conditionalFormatting sqref="K13:N13">
    <cfRule type="expression" dxfId="710" priority="18">
      <formula>$N13&gt;$N5</formula>
    </cfRule>
    <cfRule type="expression" dxfId="709" priority="16">
      <formula>AND($N13=$N5,$K13&lt;$K5)</formula>
    </cfRule>
    <cfRule type="expression" dxfId="708" priority="17">
      <formula>$N13&lt;$N5</formula>
    </cfRule>
  </conditionalFormatting>
  <conditionalFormatting sqref="K21:N21">
    <cfRule type="expression" dxfId="707" priority="19">
      <formula>AND($N21=$N29,$K21&lt;$K29)</formula>
    </cfRule>
    <cfRule type="expression" dxfId="706" priority="21">
      <formula>$N21&gt;$N29</formula>
    </cfRule>
    <cfRule type="expression" dxfId="705" priority="20">
      <formula>$N21&lt;$N29</formula>
    </cfRule>
  </conditionalFormatting>
  <conditionalFormatting sqref="K29:N29">
    <cfRule type="expression" dxfId="704" priority="15">
      <formula>$N29&gt;$N21</formula>
    </cfRule>
    <cfRule type="expression" dxfId="703" priority="14">
      <formula>$N29&lt;$N21</formula>
    </cfRule>
    <cfRule type="expression" dxfId="702" priority="13">
      <formula>AND($N29=$N21,$K29&lt;$K21)</formula>
    </cfRule>
  </conditionalFormatting>
  <conditionalFormatting sqref="P9:S9">
    <cfRule type="expression" dxfId="701" priority="5">
      <formula>$S9&lt;$S25</formula>
    </cfRule>
    <cfRule type="expression" dxfId="700" priority="4">
      <formula>AND($S9=$S25,$P9&lt;$P25)</formula>
    </cfRule>
    <cfRule type="expression" dxfId="699" priority="6">
      <formula>$S9&gt;$S25</formula>
    </cfRule>
  </conditionalFormatting>
  <conditionalFormatting sqref="P25:S25">
    <cfRule type="expression" dxfId="698" priority="1">
      <formula>AND($S25=$S9,$P25&lt;$P9)</formula>
    </cfRule>
    <cfRule type="expression" dxfId="697" priority="3">
      <formula>$S25&gt;$S9</formula>
    </cfRule>
    <cfRule type="expression" dxfId="696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BEE97-1DD4-40E2-A64E-4D6245C28EFF}">
  <dimension ref="A1:AO27"/>
  <sheetViews>
    <sheetView workbookViewId="0">
      <selection activeCell="A3" sqref="A3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5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 t="e">
        <f>VLOOKUP('Round 5'!$A3,INDEX(Entry!$E$2:$U$23,1,'Round 5'!$A$1*2-1):'Entry'!$U$33,18-$A$1*2,0)</f>
        <v>#N/A</v>
      </c>
      <c r="C3" t="e">
        <f>VLOOKUP('Round 5'!$A3,INDEX(Entry!$E$2:$U$23,1,'Round 5'!$A$1*2-1):'Entry'!$U$33,19-$A$1*2,0)</f>
        <v>#N/A</v>
      </c>
      <c r="H3">
        <f>ROUND(IFERROR(AVERAGE(E3:G3),0),2)</f>
        <v>0</v>
      </c>
      <c r="L3">
        <f t="shared" ref="L3:L27" si="0">ROUND(IFERROR(AVERAGE(I3:K3),0),2)</f>
        <v>0</v>
      </c>
      <c r="M3">
        <f>MAX(H3:L3)</f>
        <v>0</v>
      </c>
      <c r="N3">
        <f>IF(H3=M3,L3,H3)</f>
        <v>0</v>
      </c>
      <c r="O3">
        <f>IFERROR(M3+N3/1000+((1000-B3)/1000000),0)</f>
        <v>0</v>
      </c>
      <c r="P3">
        <f>RANK(O3,$O$3:$O$27,0)</f>
        <v>1</v>
      </c>
      <c r="R3" t="e">
        <f>B3</f>
        <v>#N/A</v>
      </c>
      <c r="S3" t="e">
        <f>C3</f>
        <v>#N/A</v>
      </c>
      <c r="T3">
        <f>Table27111519[[#This Row],[Max]]</f>
        <v>0</v>
      </c>
      <c r="U3">
        <f>Table27111519[[#This Row],[Min]]</f>
        <v>0</v>
      </c>
      <c r="X3" t="e">
        <f>Table16101418[[#This Row],[Column1]]</f>
        <v>#N/A</v>
      </c>
      <c r="Y3">
        <v>1</v>
      </c>
      <c r="Z3" t="e">
        <f t="shared" ref="Z3:Z27" si="1">VLOOKUP(Y3,$P$3:$U$27,3,0)</f>
        <v>#N/A</v>
      </c>
      <c r="AA3" t="e">
        <f t="shared" ref="AA3:AA27" si="2">VLOOKUP(Y3,$P$3:$U$27,4,0)</f>
        <v>#N/A</v>
      </c>
      <c r="AB3">
        <f t="shared" ref="AB3:AB27" si="3">VLOOKUP(Y3,$P$3:$U$27,5,0)</f>
        <v>0</v>
      </c>
      <c r="AC3">
        <f t="shared" ref="AC3:AC27" si="4">VLOOKUP(Y3,$P$3:$U$27,6,0)</f>
        <v>0</v>
      </c>
      <c r="AD3" t="e">
        <f>VLOOKUP(Table16101418[[#This Row],['#]],Table27111519[['#]:[Drop]],16,0)</f>
        <v>#N/A</v>
      </c>
      <c r="AE3">
        <f>COUNTIF($AD$3:AD3,"X")</f>
        <v>0</v>
      </c>
      <c r="AF3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3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3">
        <v>1</v>
      </c>
      <c r="AJ3" t="e">
        <f>VLOOKUP(AI3,$X$3:$AA$27,3,0)</f>
        <v>#N/A</v>
      </c>
      <c r="AK3" t="e">
        <f>VLOOKUP(AI3,$X$3:$AA$27,4,0)</f>
        <v>#N/A</v>
      </c>
      <c r="AM3" s="1">
        <v>1</v>
      </c>
      <c r="AN3" s="1" t="e">
        <f>VLOOKUP(AM3,$AI$3:$AL$18,2,0)</f>
        <v>#N/A</v>
      </c>
      <c r="AO3" s="1" t="e">
        <f>VLOOKUP(AM3,$AI$3:$AL$18,3,0)</f>
        <v>#N/A</v>
      </c>
    </row>
    <row r="4" spans="1:41" x14ac:dyDescent="0.3">
      <c r="A4">
        <v>2</v>
      </c>
      <c r="B4" t="e">
        <f>VLOOKUP('Round 5'!$A4,INDEX(Entry!$E$2:$U$23,1,'Round 5'!$A$1*2-1):'Entry'!$U$33,18-$A$1*2,0)</f>
        <v>#N/A</v>
      </c>
      <c r="C4" t="e">
        <f>VLOOKUP('Round 5'!$A4,INDEX(Entry!$E$2:$U$23,1,'Round 5'!$A$1*2-1):'Entry'!$U$33,19-$A$1*2,0)</f>
        <v>#N/A</v>
      </c>
      <c r="H4">
        <f t="shared" ref="H4:H27" si="5">ROUND(IFERROR(AVERAGE(E4:G4),0),2)</f>
        <v>0</v>
      </c>
      <c r="L4">
        <f t="shared" si="0"/>
        <v>0</v>
      </c>
      <c r="M4">
        <f t="shared" ref="M4:M27" si="6">MAX(H4:L4)</f>
        <v>0</v>
      </c>
      <c r="N4">
        <f t="shared" ref="N4:N27" si="7">IF(H4=M4,L4,H4)</f>
        <v>0</v>
      </c>
      <c r="O4">
        <f t="shared" ref="O4:O27" si="8">IFERROR(M4+N4/1000+((1000-B4)/1000000),0)</f>
        <v>0</v>
      </c>
      <c r="P4">
        <f t="shared" ref="P4:P27" si="9">RANK(O4,$O$3:$O$27,0)</f>
        <v>1</v>
      </c>
      <c r="R4" t="e">
        <f t="shared" ref="R4:S27" si="10">B4</f>
        <v>#N/A</v>
      </c>
      <c r="S4" t="e">
        <f t="shared" si="10"/>
        <v>#N/A</v>
      </c>
      <c r="T4">
        <f>Table27111519[[#This Row],[Max]]</f>
        <v>0</v>
      </c>
      <c r="U4">
        <f>Table27111519[[#This Row],[Min]]</f>
        <v>0</v>
      </c>
      <c r="X4" t="e">
        <f>Table16101418[[#This Row],[Column1]]</f>
        <v>#N/A</v>
      </c>
      <c r="Y4">
        <v>2</v>
      </c>
      <c r="Z4" t="e">
        <f t="shared" si="1"/>
        <v>#N/A</v>
      </c>
      <c r="AA4" t="e">
        <f t="shared" si="2"/>
        <v>#N/A</v>
      </c>
      <c r="AB4" t="e">
        <f t="shared" si="3"/>
        <v>#N/A</v>
      </c>
      <c r="AC4" t="e">
        <f t="shared" si="4"/>
        <v>#N/A</v>
      </c>
      <c r="AD4" t="e">
        <f>VLOOKUP(Table16101418[[#This Row],['#]],Table27111519[['#]:[Drop]],16,0)</f>
        <v>#N/A</v>
      </c>
      <c r="AE4">
        <f>COUNTIF($AD$3:AD4,"X")</f>
        <v>0</v>
      </c>
      <c r="AF4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4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4">
        <v>2</v>
      </c>
      <c r="AJ4" t="e">
        <f t="shared" ref="AJ4:AJ18" si="11">VLOOKUP(AI4,$X$3:$AA$27,3,0)</f>
        <v>#N/A</v>
      </c>
      <c r="AK4" t="e">
        <f t="shared" ref="AK4:AK18" si="12">VLOOKUP(AI4,$X$3:$AA$27,4,0)</f>
        <v>#N/A</v>
      </c>
      <c r="AM4" s="1">
        <v>16</v>
      </c>
      <c r="AN4" s="1" t="e">
        <f>VLOOKUP(AM4,$AI$3:$AL$18,2,0)</f>
        <v>#N/A</v>
      </c>
      <c r="AO4" s="1" t="e">
        <f>VLOOKUP(AM4,$AI$3:$AL$18,3,0)</f>
        <v>#N/A</v>
      </c>
    </row>
    <row r="5" spans="1:41" x14ac:dyDescent="0.3">
      <c r="A5">
        <v>3</v>
      </c>
      <c r="B5" t="e">
        <f>VLOOKUP('Round 5'!$A5,INDEX(Entry!$E$2:$U$23,1,'Round 5'!$A$1*2-1):'Entry'!$U$33,18-$A$1*2,0)</f>
        <v>#N/A</v>
      </c>
      <c r="C5" t="e">
        <f>VLOOKUP('Round 5'!$A5,INDEX(Entry!$E$2:$U$23,1,'Round 5'!$A$1*2-1):'Entry'!$U$33,19-$A$1*2,0)</f>
        <v>#N/A</v>
      </c>
      <c r="H5">
        <f t="shared" si="5"/>
        <v>0</v>
      </c>
      <c r="L5">
        <f t="shared" si="0"/>
        <v>0</v>
      </c>
      <c r="M5">
        <f t="shared" si="6"/>
        <v>0</v>
      </c>
      <c r="N5">
        <f t="shared" si="7"/>
        <v>0</v>
      </c>
      <c r="O5">
        <f t="shared" si="8"/>
        <v>0</v>
      </c>
      <c r="P5">
        <f t="shared" si="9"/>
        <v>1</v>
      </c>
      <c r="R5" t="e">
        <f t="shared" si="10"/>
        <v>#N/A</v>
      </c>
      <c r="S5" t="e">
        <f t="shared" si="10"/>
        <v>#N/A</v>
      </c>
      <c r="T5">
        <f>Table27111519[[#This Row],[Max]]</f>
        <v>0</v>
      </c>
      <c r="U5">
        <f>Table27111519[[#This Row],[Min]]</f>
        <v>0</v>
      </c>
      <c r="X5" t="e">
        <f>Table16101418[[#This Row],[Column1]]</f>
        <v>#N/A</v>
      </c>
      <c r="Y5">
        <v>3</v>
      </c>
      <c r="Z5" t="e">
        <f t="shared" si="1"/>
        <v>#N/A</v>
      </c>
      <c r="AA5" t="e">
        <f t="shared" si="2"/>
        <v>#N/A</v>
      </c>
      <c r="AB5" t="e">
        <f t="shared" si="3"/>
        <v>#N/A</v>
      </c>
      <c r="AC5" t="e">
        <f t="shared" si="4"/>
        <v>#N/A</v>
      </c>
      <c r="AD5" t="e">
        <f>VLOOKUP(Table16101418[[#This Row],['#]],Table27111519[['#]:[Drop]],16,0)</f>
        <v>#N/A</v>
      </c>
      <c r="AE5">
        <f>COUNTIF($AD$3:AD5,"X")</f>
        <v>0</v>
      </c>
      <c r="AF5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5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5">
        <v>3</v>
      </c>
      <c r="AJ5" t="e">
        <f t="shared" si="11"/>
        <v>#N/A</v>
      </c>
      <c r="AK5" t="e">
        <f t="shared" si="12"/>
        <v>#N/A</v>
      </c>
    </row>
    <row r="6" spans="1:41" x14ac:dyDescent="0.3">
      <c r="A6">
        <v>4</v>
      </c>
      <c r="B6" t="e">
        <f>VLOOKUP('Round 5'!$A6,INDEX(Entry!$E$2:$U$23,1,'Round 5'!$A$1*2-1):'Entry'!$U$33,18-$A$1*2,0)</f>
        <v>#N/A</v>
      </c>
      <c r="C6" t="e">
        <f>VLOOKUP('Round 5'!$A6,INDEX(Entry!$E$2:$U$23,1,'Round 5'!$A$1*2-1):'Entry'!$U$33,19-$A$1*2,0)</f>
        <v>#N/A</v>
      </c>
      <c r="H6">
        <f t="shared" si="5"/>
        <v>0</v>
      </c>
      <c r="L6">
        <f t="shared" si="0"/>
        <v>0</v>
      </c>
      <c r="M6">
        <f t="shared" si="6"/>
        <v>0</v>
      </c>
      <c r="N6">
        <f t="shared" si="7"/>
        <v>0</v>
      </c>
      <c r="O6">
        <f t="shared" si="8"/>
        <v>0</v>
      </c>
      <c r="P6">
        <f t="shared" si="9"/>
        <v>1</v>
      </c>
      <c r="R6" t="e">
        <f t="shared" si="10"/>
        <v>#N/A</v>
      </c>
      <c r="S6" t="e">
        <f t="shared" si="10"/>
        <v>#N/A</v>
      </c>
      <c r="T6">
        <f>Table27111519[[#This Row],[Max]]</f>
        <v>0</v>
      </c>
      <c r="U6">
        <f>Table27111519[[#This Row],[Min]]</f>
        <v>0</v>
      </c>
      <c r="X6" t="e">
        <f>Table16101418[[#This Row],[Column1]]</f>
        <v>#N/A</v>
      </c>
      <c r="Y6">
        <v>4</v>
      </c>
      <c r="Z6" t="e">
        <f t="shared" si="1"/>
        <v>#N/A</v>
      </c>
      <c r="AA6" t="e">
        <f t="shared" si="2"/>
        <v>#N/A</v>
      </c>
      <c r="AB6" t="e">
        <f t="shared" si="3"/>
        <v>#N/A</v>
      </c>
      <c r="AC6" t="e">
        <f t="shared" si="4"/>
        <v>#N/A</v>
      </c>
      <c r="AD6" t="e">
        <f>VLOOKUP(Table16101418[[#This Row],['#]],Table27111519[['#]:[Drop]],16,0)</f>
        <v>#N/A</v>
      </c>
      <c r="AE6">
        <f>COUNTIF($AD$3:AD6,"X")</f>
        <v>0</v>
      </c>
      <c r="AF6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6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6">
        <v>4</v>
      </c>
      <c r="AJ6" t="e">
        <f t="shared" si="11"/>
        <v>#N/A</v>
      </c>
      <c r="AK6" t="e">
        <f t="shared" si="12"/>
        <v>#N/A</v>
      </c>
      <c r="AM6" s="1">
        <v>8</v>
      </c>
      <c r="AN6" s="1" t="e">
        <f>VLOOKUP(AM6,$AI$3:$AL$18,2,0)</f>
        <v>#N/A</v>
      </c>
      <c r="AO6" s="1" t="e">
        <f>VLOOKUP(AM6,$AI$3:$AL$18,3,0)</f>
        <v>#N/A</v>
      </c>
    </row>
    <row r="7" spans="1:41" x14ac:dyDescent="0.3">
      <c r="A7">
        <v>5</v>
      </c>
      <c r="B7" t="e">
        <f>VLOOKUP('Round 5'!$A7,INDEX(Entry!$E$2:$U$23,1,'Round 5'!$A$1*2-1):'Entry'!$U$33,18-$A$1*2,0)</f>
        <v>#N/A</v>
      </c>
      <c r="C7" t="e">
        <f>VLOOKUP('Round 5'!$A7,INDEX(Entry!$E$2:$U$23,1,'Round 5'!$A$1*2-1):'Entry'!$U$33,19-$A$1*2,0)</f>
        <v>#N/A</v>
      </c>
      <c r="H7">
        <f t="shared" si="5"/>
        <v>0</v>
      </c>
      <c r="L7">
        <f t="shared" si="0"/>
        <v>0</v>
      </c>
      <c r="M7">
        <f t="shared" si="6"/>
        <v>0</v>
      </c>
      <c r="N7">
        <f t="shared" si="7"/>
        <v>0</v>
      </c>
      <c r="O7">
        <f t="shared" si="8"/>
        <v>0</v>
      </c>
      <c r="P7">
        <f t="shared" si="9"/>
        <v>1</v>
      </c>
      <c r="R7" t="e">
        <f t="shared" si="10"/>
        <v>#N/A</v>
      </c>
      <c r="S7" t="e">
        <f t="shared" si="10"/>
        <v>#N/A</v>
      </c>
      <c r="T7">
        <f>Table27111519[[#This Row],[Max]]</f>
        <v>0</v>
      </c>
      <c r="U7">
        <f>Table27111519[[#This Row],[Min]]</f>
        <v>0</v>
      </c>
      <c r="X7" t="e">
        <f>Table16101418[[#This Row],[Column1]]</f>
        <v>#N/A</v>
      </c>
      <c r="Y7">
        <v>5</v>
      </c>
      <c r="Z7" t="e">
        <f t="shared" si="1"/>
        <v>#N/A</v>
      </c>
      <c r="AA7" t="e">
        <f t="shared" si="2"/>
        <v>#N/A</v>
      </c>
      <c r="AB7" t="e">
        <f t="shared" si="3"/>
        <v>#N/A</v>
      </c>
      <c r="AC7" t="e">
        <f t="shared" si="4"/>
        <v>#N/A</v>
      </c>
      <c r="AD7" t="e">
        <f>VLOOKUP(Table16101418[[#This Row],['#]],Table27111519[['#]:[Drop]],16,0)</f>
        <v>#N/A</v>
      </c>
      <c r="AE7">
        <f>COUNTIF($AD$3:AD7,"X")</f>
        <v>0</v>
      </c>
      <c r="AF7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7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7">
        <v>5</v>
      </c>
      <c r="AJ7" t="e">
        <f t="shared" si="11"/>
        <v>#N/A</v>
      </c>
      <c r="AK7" t="e">
        <f t="shared" si="12"/>
        <v>#N/A</v>
      </c>
      <c r="AM7" s="1">
        <v>9</v>
      </c>
      <c r="AN7" s="1" t="e">
        <f>VLOOKUP(AM7,$AI$3:$AL$18,2,0)</f>
        <v>#N/A</v>
      </c>
      <c r="AO7" s="1" t="e">
        <f>VLOOKUP(AM7,$AI$3:$AL$18,3,0)</f>
        <v>#N/A</v>
      </c>
    </row>
    <row r="8" spans="1:41" x14ac:dyDescent="0.3">
      <c r="A8">
        <v>6</v>
      </c>
      <c r="B8" t="e">
        <f>VLOOKUP('Round 5'!$A8,INDEX(Entry!$E$2:$U$23,1,'Round 5'!$A$1*2-1):'Entry'!$U$33,18-$A$1*2,0)</f>
        <v>#N/A</v>
      </c>
      <c r="C8" t="e">
        <f>VLOOKUP('Round 5'!$A8,INDEX(Entry!$E$2:$U$23,1,'Round 5'!$A$1*2-1):'Entry'!$U$33,19-$A$1*2,0)</f>
        <v>#N/A</v>
      </c>
      <c r="H8">
        <f t="shared" si="5"/>
        <v>0</v>
      </c>
      <c r="L8">
        <f t="shared" si="0"/>
        <v>0</v>
      </c>
      <c r="M8">
        <f t="shared" si="6"/>
        <v>0</v>
      </c>
      <c r="N8">
        <f t="shared" si="7"/>
        <v>0</v>
      </c>
      <c r="O8">
        <f t="shared" si="8"/>
        <v>0</v>
      </c>
      <c r="P8">
        <f t="shared" si="9"/>
        <v>1</v>
      </c>
      <c r="R8" t="e">
        <f t="shared" si="10"/>
        <v>#N/A</v>
      </c>
      <c r="S8" t="e">
        <f t="shared" si="10"/>
        <v>#N/A</v>
      </c>
      <c r="T8">
        <f>Table27111519[[#This Row],[Max]]</f>
        <v>0</v>
      </c>
      <c r="U8">
        <f>Table27111519[[#This Row],[Min]]</f>
        <v>0</v>
      </c>
      <c r="X8" t="e">
        <f>Table16101418[[#This Row],[Column1]]</f>
        <v>#N/A</v>
      </c>
      <c r="Y8">
        <v>6</v>
      </c>
      <c r="Z8" t="e">
        <f t="shared" si="1"/>
        <v>#N/A</v>
      </c>
      <c r="AA8" t="e">
        <f t="shared" si="2"/>
        <v>#N/A</v>
      </c>
      <c r="AB8" t="e">
        <f t="shared" si="3"/>
        <v>#N/A</v>
      </c>
      <c r="AC8" t="e">
        <f t="shared" si="4"/>
        <v>#N/A</v>
      </c>
      <c r="AD8" t="e">
        <f>VLOOKUP(Table16101418[[#This Row],['#]],Table27111519[['#]:[Drop]],16,0)</f>
        <v>#N/A</v>
      </c>
      <c r="AE8">
        <f>COUNTIF($AD$3:AD8,"X")</f>
        <v>0</v>
      </c>
      <c r="AF8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8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8">
        <v>6</v>
      </c>
      <c r="AJ8" t="e">
        <f t="shared" si="11"/>
        <v>#N/A</v>
      </c>
      <c r="AK8" t="e">
        <f t="shared" si="12"/>
        <v>#N/A</v>
      </c>
    </row>
    <row r="9" spans="1:41" x14ac:dyDescent="0.3">
      <c r="A9">
        <v>7</v>
      </c>
      <c r="B9" t="e">
        <f>VLOOKUP('Round 5'!$A9,INDEX(Entry!$E$2:$U$23,1,'Round 5'!$A$1*2-1):'Entry'!$U$33,18-$A$1*2,0)</f>
        <v>#N/A</v>
      </c>
      <c r="C9" t="e">
        <f>VLOOKUP('Round 5'!$A9,INDEX(Entry!$E$2:$U$23,1,'Round 5'!$A$1*2-1):'Entry'!$U$33,19-$A$1*2,0)</f>
        <v>#N/A</v>
      </c>
      <c r="H9">
        <f t="shared" si="5"/>
        <v>0</v>
      </c>
      <c r="L9">
        <f t="shared" si="0"/>
        <v>0</v>
      </c>
      <c r="M9">
        <f t="shared" si="6"/>
        <v>0</v>
      </c>
      <c r="N9">
        <f t="shared" si="7"/>
        <v>0</v>
      </c>
      <c r="O9">
        <f t="shared" si="8"/>
        <v>0</v>
      </c>
      <c r="P9">
        <f t="shared" si="9"/>
        <v>1</v>
      </c>
      <c r="R9" t="e">
        <f t="shared" si="10"/>
        <v>#N/A</v>
      </c>
      <c r="S9" t="e">
        <f t="shared" si="10"/>
        <v>#N/A</v>
      </c>
      <c r="T9">
        <f>Table27111519[[#This Row],[Max]]</f>
        <v>0</v>
      </c>
      <c r="U9">
        <f>Table27111519[[#This Row],[Min]]</f>
        <v>0</v>
      </c>
      <c r="X9" t="e">
        <f>Table16101418[[#This Row],[Column1]]</f>
        <v>#N/A</v>
      </c>
      <c r="Y9">
        <v>7</v>
      </c>
      <c r="Z9" t="e">
        <f t="shared" si="1"/>
        <v>#N/A</v>
      </c>
      <c r="AA9" t="e">
        <f t="shared" si="2"/>
        <v>#N/A</v>
      </c>
      <c r="AB9" t="e">
        <f t="shared" si="3"/>
        <v>#N/A</v>
      </c>
      <c r="AC9" t="e">
        <f t="shared" si="4"/>
        <v>#N/A</v>
      </c>
      <c r="AD9" t="e">
        <f>VLOOKUP(Table16101418[[#This Row],['#]],Table27111519[['#]:[Drop]],16,0)</f>
        <v>#N/A</v>
      </c>
      <c r="AE9">
        <f>COUNTIF($AD$3:AD9,"X")</f>
        <v>0</v>
      </c>
      <c r="AF9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9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9">
        <v>7</v>
      </c>
      <c r="AJ9" t="e">
        <f t="shared" si="11"/>
        <v>#N/A</v>
      </c>
      <c r="AK9" t="e">
        <f t="shared" si="12"/>
        <v>#N/A</v>
      </c>
      <c r="AM9" s="1">
        <v>4</v>
      </c>
      <c r="AN9" s="1" t="e">
        <f>VLOOKUP(AM9,$AI$3:$AL$18,2,0)</f>
        <v>#N/A</v>
      </c>
      <c r="AO9" s="1" t="e">
        <f>VLOOKUP(AM9,$AI$3:$AL$18,3,0)</f>
        <v>#N/A</v>
      </c>
    </row>
    <row r="10" spans="1:41" x14ac:dyDescent="0.3">
      <c r="A10">
        <v>8</v>
      </c>
      <c r="B10" t="e">
        <f>VLOOKUP('Round 5'!$A10,INDEX(Entry!$E$2:$U$23,1,'Round 5'!$A$1*2-1):'Entry'!$U$33,18-$A$1*2,0)</f>
        <v>#N/A</v>
      </c>
      <c r="C10" t="e">
        <f>VLOOKUP('Round 5'!$A10,INDEX(Entry!$E$2:$U$23,1,'Round 5'!$A$1*2-1):'Entry'!$U$33,19-$A$1*2,0)</f>
        <v>#N/A</v>
      </c>
      <c r="H10">
        <f t="shared" si="5"/>
        <v>0</v>
      </c>
      <c r="L10">
        <f t="shared" si="0"/>
        <v>0</v>
      </c>
      <c r="M10">
        <f t="shared" si="6"/>
        <v>0</v>
      </c>
      <c r="N10">
        <f t="shared" si="7"/>
        <v>0</v>
      </c>
      <c r="O10">
        <f t="shared" si="8"/>
        <v>0</v>
      </c>
      <c r="P10">
        <f t="shared" si="9"/>
        <v>1</v>
      </c>
      <c r="R10" t="e">
        <f t="shared" si="10"/>
        <v>#N/A</v>
      </c>
      <c r="S10" t="e">
        <f t="shared" si="10"/>
        <v>#N/A</v>
      </c>
      <c r="T10">
        <f>Table27111519[[#This Row],[Max]]</f>
        <v>0</v>
      </c>
      <c r="U10">
        <f>Table27111519[[#This Row],[Min]]</f>
        <v>0</v>
      </c>
      <c r="X10" t="e">
        <f>Table16101418[[#This Row],[Column1]]</f>
        <v>#N/A</v>
      </c>
      <c r="Y10">
        <v>8</v>
      </c>
      <c r="Z10" t="e">
        <f t="shared" si="1"/>
        <v>#N/A</v>
      </c>
      <c r="AA10" t="e">
        <f t="shared" si="2"/>
        <v>#N/A</v>
      </c>
      <c r="AB10" t="e">
        <f t="shared" si="3"/>
        <v>#N/A</v>
      </c>
      <c r="AC10" t="e">
        <f t="shared" si="4"/>
        <v>#N/A</v>
      </c>
      <c r="AD10" t="e">
        <f>VLOOKUP(Table16101418[[#This Row],['#]],Table27111519[['#]:[Drop]],16,0)</f>
        <v>#N/A</v>
      </c>
      <c r="AE10">
        <f>COUNTIF($AD$3:AD10,"X")</f>
        <v>0</v>
      </c>
      <c r="AF10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0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0">
        <v>8</v>
      </c>
      <c r="AJ10" t="e">
        <f t="shared" si="11"/>
        <v>#N/A</v>
      </c>
      <c r="AK10" t="e">
        <f t="shared" si="12"/>
        <v>#N/A</v>
      </c>
      <c r="AM10" s="1">
        <v>13</v>
      </c>
      <c r="AN10" s="1" t="e">
        <f>VLOOKUP(AM10,$AI$3:$AL$18,2,0)</f>
        <v>#N/A</v>
      </c>
      <c r="AO10" s="1" t="e">
        <f>VLOOKUP(AM10,$AI$3:$AL$18,3,0)</f>
        <v>#N/A</v>
      </c>
    </row>
    <row r="11" spans="1:41" x14ac:dyDescent="0.3">
      <c r="A11">
        <v>9</v>
      </c>
      <c r="B11" t="e">
        <f>VLOOKUP('Round 5'!$A11,INDEX(Entry!$E$2:$U$23,1,'Round 5'!$A$1*2-1):'Entry'!$U$33,18-$A$1*2,0)</f>
        <v>#N/A</v>
      </c>
      <c r="C11" t="e">
        <f>VLOOKUP('Round 5'!$A11,INDEX(Entry!$E$2:$U$23,1,'Round 5'!$A$1*2-1):'Entry'!$U$33,19-$A$1*2,0)</f>
        <v>#N/A</v>
      </c>
      <c r="H11">
        <f t="shared" si="5"/>
        <v>0</v>
      </c>
      <c r="L11">
        <f t="shared" si="0"/>
        <v>0</v>
      </c>
      <c r="M11">
        <f t="shared" si="6"/>
        <v>0</v>
      </c>
      <c r="N11">
        <f t="shared" si="7"/>
        <v>0</v>
      </c>
      <c r="O11">
        <f t="shared" si="8"/>
        <v>0</v>
      </c>
      <c r="P11">
        <f t="shared" si="9"/>
        <v>1</v>
      </c>
      <c r="R11" t="e">
        <f t="shared" si="10"/>
        <v>#N/A</v>
      </c>
      <c r="S11" t="e">
        <f t="shared" si="10"/>
        <v>#N/A</v>
      </c>
      <c r="T11">
        <f>Table27111519[[#This Row],[Max]]</f>
        <v>0</v>
      </c>
      <c r="U11">
        <f>Table27111519[[#This Row],[Min]]</f>
        <v>0</v>
      </c>
      <c r="X11" t="e">
        <f>Table16101418[[#This Row],[Column1]]</f>
        <v>#N/A</v>
      </c>
      <c r="Y11">
        <v>9</v>
      </c>
      <c r="Z11" t="e">
        <f t="shared" si="1"/>
        <v>#N/A</v>
      </c>
      <c r="AA11" t="e">
        <f t="shared" si="2"/>
        <v>#N/A</v>
      </c>
      <c r="AB11" t="e">
        <f t="shared" si="3"/>
        <v>#N/A</v>
      </c>
      <c r="AC11" t="e">
        <f t="shared" si="4"/>
        <v>#N/A</v>
      </c>
      <c r="AD11" t="e">
        <f>VLOOKUP(Table16101418[[#This Row],['#]],Table27111519[['#]:[Drop]],16,0)</f>
        <v>#N/A</v>
      </c>
      <c r="AE11">
        <f>COUNTIF($AD$3:AD11,"X")</f>
        <v>0</v>
      </c>
      <c r="AF11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1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1">
        <v>9</v>
      </c>
      <c r="AJ11" t="e">
        <f t="shared" si="11"/>
        <v>#N/A</v>
      </c>
      <c r="AK11" t="e">
        <f t="shared" si="12"/>
        <v>#N/A</v>
      </c>
    </row>
    <row r="12" spans="1:41" x14ac:dyDescent="0.3">
      <c r="A12">
        <v>10</v>
      </c>
      <c r="B12" t="e">
        <f>VLOOKUP('Round 5'!$A12,INDEX(Entry!$E$2:$U$23,1,'Round 5'!$A$1*2-1):'Entry'!$U$33,18-$A$1*2,0)</f>
        <v>#N/A</v>
      </c>
      <c r="C12" t="e">
        <f>VLOOKUP('Round 5'!$A12,INDEX(Entry!$E$2:$U$23,1,'Round 5'!$A$1*2-1):'Entry'!$U$33,19-$A$1*2,0)</f>
        <v>#N/A</v>
      </c>
      <c r="H12">
        <f t="shared" si="5"/>
        <v>0</v>
      </c>
      <c r="L12">
        <f t="shared" si="0"/>
        <v>0</v>
      </c>
      <c r="M12">
        <f t="shared" si="6"/>
        <v>0</v>
      </c>
      <c r="N12">
        <f t="shared" si="7"/>
        <v>0</v>
      </c>
      <c r="O12">
        <f t="shared" si="8"/>
        <v>0</v>
      </c>
      <c r="P12">
        <f t="shared" si="9"/>
        <v>1</v>
      </c>
      <c r="R12" t="e">
        <f t="shared" si="10"/>
        <v>#N/A</v>
      </c>
      <c r="S12" t="e">
        <f t="shared" si="10"/>
        <v>#N/A</v>
      </c>
      <c r="T12">
        <f>Table27111519[[#This Row],[Max]]</f>
        <v>0</v>
      </c>
      <c r="U12">
        <f>Table27111519[[#This Row],[Min]]</f>
        <v>0</v>
      </c>
      <c r="X12" t="e">
        <f>Table16101418[[#This Row],[Column1]]</f>
        <v>#N/A</v>
      </c>
      <c r="Y12">
        <v>10</v>
      </c>
      <c r="Z12" t="e">
        <f t="shared" si="1"/>
        <v>#N/A</v>
      </c>
      <c r="AA12" t="e">
        <f t="shared" si="2"/>
        <v>#N/A</v>
      </c>
      <c r="AB12" t="e">
        <f t="shared" si="3"/>
        <v>#N/A</v>
      </c>
      <c r="AC12" t="e">
        <f t="shared" si="4"/>
        <v>#N/A</v>
      </c>
      <c r="AD12" t="e">
        <f>VLOOKUP(Table16101418[[#This Row],['#]],Table27111519[['#]:[Drop]],16,0)</f>
        <v>#N/A</v>
      </c>
      <c r="AE12">
        <f>COUNTIF($AD$3:AD12,"X")</f>
        <v>0</v>
      </c>
      <c r="AF12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2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2">
        <v>10</v>
      </c>
      <c r="AJ12" t="e">
        <f t="shared" si="11"/>
        <v>#N/A</v>
      </c>
      <c r="AK12" t="e">
        <f t="shared" si="12"/>
        <v>#N/A</v>
      </c>
      <c r="AM12" s="1">
        <v>5</v>
      </c>
      <c r="AN12" s="1" t="e">
        <f>VLOOKUP(AM12,$AI$3:$AL$18,2,0)</f>
        <v>#N/A</v>
      </c>
      <c r="AO12" s="1" t="e">
        <f>VLOOKUP(AM12,$AI$3:$AL$18,3,0)</f>
        <v>#N/A</v>
      </c>
    </row>
    <row r="13" spans="1:41" x14ac:dyDescent="0.3">
      <c r="A13">
        <v>11</v>
      </c>
      <c r="B13" t="e">
        <f>VLOOKUP('Round 5'!$A13,INDEX(Entry!$E$2:$U$23,1,'Round 5'!$A$1*2-1):'Entry'!$U$33,18-$A$1*2,0)</f>
        <v>#N/A</v>
      </c>
      <c r="C13" t="e">
        <f>VLOOKUP('Round 5'!$A13,INDEX(Entry!$E$2:$U$23,1,'Round 5'!$A$1*2-1):'Entry'!$U$33,19-$A$1*2,0)</f>
        <v>#N/A</v>
      </c>
      <c r="H13">
        <f t="shared" si="5"/>
        <v>0</v>
      </c>
      <c r="L13">
        <f t="shared" si="0"/>
        <v>0</v>
      </c>
      <c r="M13">
        <f t="shared" si="6"/>
        <v>0</v>
      </c>
      <c r="N13">
        <f t="shared" si="7"/>
        <v>0</v>
      </c>
      <c r="O13">
        <f t="shared" si="8"/>
        <v>0</v>
      </c>
      <c r="P13">
        <f t="shared" si="9"/>
        <v>1</v>
      </c>
      <c r="R13" t="e">
        <f t="shared" si="10"/>
        <v>#N/A</v>
      </c>
      <c r="S13" t="e">
        <f t="shared" si="10"/>
        <v>#N/A</v>
      </c>
      <c r="T13">
        <f>Table27111519[[#This Row],[Max]]</f>
        <v>0</v>
      </c>
      <c r="U13">
        <f>Table27111519[[#This Row],[Min]]</f>
        <v>0</v>
      </c>
      <c r="X13" t="e">
        <f>Table16101418[[#This Row],[Column1]]</f>
        <v>#N/A</v>
      </c>
      <c r="Y13">
        <v>11</v>
      </c>
      <c r="Z13" t="e">
        <f t="shared" si="1"/>
        <v>#N/A</v>
      </c>
      <c r="AA13" t="e">
        <f t="shared" si="2"/>
        <v>#N/A</v>
      </c>
      <c r="AB13" t="e">
        <f t="shared" si="3"/>
        <v>#N/A</v>
      </c>
      <c r="AC13" t="e">
        <f t="shared" si="4"/>
        <v>#N/A</v>
      </c>
      <c r="AD13" t="e">
        <f>VLOOKUP(Table16101418[[#This Row],['#]],Table27111519[['#]:[Drop]],16,0)</f>
        <v>#N/A</v>
      </c>
      <c r="AE13">
        <f>COUNTIF($AD$3:AD13,"X")</f>
        <v>0</v>
      </c>
      <c r="AF13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3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3">
        <v>11</v>
      </c>
      <c r="AJ13" t="e">
        <f t="shared" si="11"/>
        <v>#N/A</v>
      </c>
      <c r="AK13" t="e">
        <f t="shared" si="12"/>
        <v>#N/A</v>
      </c>
      <c r="AM13" s="1">
        <v>12</v>
      </c>
      <c r="AN13" s="1" t="e">
        <f>VLOOKUP(AM13,$AI$3:$AL$18,2,0)</f>
        <v>#N/A</v>
      </c>
      <c r="AO13" s="1" t="e">
        <f>VLOOKUP(AM13,$AI$3:$AL$18,3,0)</f>
        <v>#N/A</v>
      </c>
    </row>
    <row r="14" spans="1:41" x14ac:dyDescent="0.3">
      <c r="A14">
        <v>12</v>
      </c>
      <c r="B14" t="e">
        <f>VLOOKUP('Round 5'!$A14,INDEX(Entry!$E$2:$U$23,1,'Round 5'!$A$1*2-1):'Entry'!$U$33,18-$A$1*2,0)</f>
        <v>#N/A</v>
      </c>
      <c r="C14" t="e">
        <f>VLOOKUP('Round 5'!$A14,INDEX(Entry!$E$2:$U$23,1,'Round 5'!$A$1*2-1):'Entry'!$U$33,19-$A$1*2,0)</f>
        <v>#N/A</v>
      </c>
      <c r="H14">
        <f t="shared" si="5"/>
        <v>0</v>
      </c>
      <c r="L14">
        <f t="shared" si="0"/>
        <v>0</v>
      </c>
      <c r="M14">
        <f t="shared" si="6"/>
        <v>0</v>
      </c>
      <c r="N14">
        <f t="shared" si="7"/>
        <v>0</v>
      </c>
      <c r="O14">
        <f t="shared" si="8"/>
        <v>0</v>
      </c>
      <c r="P14">
        <f t="shared" si="9"/>
        <v>1</v>
      </c>
      <c r="R14" t="e">
        <f t="shared" si="10"/>
        <v>#N/A</v>
      </c>
      <c r="S14" t="e">
        <f t="shared" si="10"/>
        <v>#N/A</v>
      </c>
      <c r="T14">
        <f>Table27111519[[#This Row],[Max]]</f>
        <v>0</v>
      </c>
      <c r="U14">
        <f>Table27111519[[#This Row],[Min]]</f>
        <v>0</v>
      </c>
      <c r="X14" t="e">
        <f>Table16101418[[#This Row],[Column1]]</f>
        <v>#N/A</v>
      </c>
      <c r="Y14">
        <v>12</v>
      </c>
      <c r="Z14" t="e">
        <f t="shared" si="1"/>
        <v>#N/A</v>
      </c>
      <c r="AA14" t="e">
        <f t="shared" si="2"/>
        <v>#N/A</v>
      </c>
      <c r="AB14" t="e">
        <f t="shared" si="3"/>
        <v>#N/A</v>
      </c>
      <c r="AC14" t="e">
        <f t="shared" si="4"/>
        <v>#N/A</v>
      </c>
      <c r="AD14" t="e">
        <f>VLOOKUP(Table16101418[[#This Row],['#]],Table27111519[['#]:[Drop]],16,0)</f>
        <v>#N/A</v>
      </c>
      <c r="AE14">
        <f>COUNTIF($AD$3:AD14,"X")</f>
        <v>0</v>
      </c>
      <c r="AF14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4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4">
        <v>12</v>
      </c>
      <c r="AJ14" t="e">
        <f t="shared" si="11"/>
        <v>#N/A</v>
      </c>
      <c r="AK14" t="e">
        <f t="shared" si="12"/>
        <v>#N/A</v>
      </c>
    </row>
    <row r="15" spans="1:41" x14ac:dyDescent="0.3">
      <c r="A15">
        <v>13</v>
      </c>
      <c r="B15" t="e">
        <f>VLOOKUP('Round 5'!$A15,INDEX(Entry!$E$2:$U$23,1,'Round 5'!$A$1*2-1):'Entry'!$U$33,18-$A$1*2,0)</f>
        <v>#N/A</v>
      </c>
      <c r="C15" t="e">
        <f>VLOOKUP('Round 5'!$A15,INDEX(Entry!$E$2:$U$23,1,'Round 5'!$A$1*2-1):'Entry'!$U$33,19-$A$1*2,0)</f>
        <v>#N/A</v>
      </c>
      <c r="H15">
        <f t="shared" si="5"/>
        <v>0</v>
      </c>
      <c r="L15">
        <f t="shared" si="0"/>
        <v>0</v>
      </c>
      <c r="M15">
        <f t="shared" si="6"/>
        <v>0</v>
      </c>
      <c r="N15">
        <f t="shared" si="7"/>
        <v>0</v>
      </c>
      <c r="O15">
        <f t="shared" si="8"/>
        <v>0</v>
      </c>
      <c r="P15">
        <f t="shared" si="9"/>
        <v>1</v>
      </c>
      <c r="R15" t="e">
        <f t="shared" si="10"/>
        <v>#N/A</v>
      </c>
      <c r="S15" t="e">
        <f t="shared" si="10"/>
        <v>#N/A</v>
      </c>
      <c r="T15">
        <f>Table27111519[[#This Row],[Max]]</f>
        <v>0</v>
      </c>
      <c r="U15">
        <f>Table27111519[[#This Row],[Min]]</f>
        <v>0</v>
      </c>
      <c r="X15" t="e">
        <f>Table16101418[[#This Row],[Column1]]</f>
        <v>#N/A</v>
      </c>
      <c r="Y15">
        <v>13</v>
      </c>
      <c r="Z15" t="e">
        <f t="shared" si="1"/>
        <v>#N/A</v>
      </c>
      <c r="AA15" t="e">
        <f t="shared" si="2"/>
        <v>#N/A</v>
      </c>
      <c r="AB15" t="e">
        <f t="shared" si="3"/>
        <v>#N/A</v>
      </c>
      <c r="AC15" t="e">
        <f t="shared" si="4"/>
        <v>#N/A</v>
      </c>
      <c r="AD15" t="e">
        <f>VLOOKUP(Table16101418[[#This Row],['#]],Table27111519[['#]:[Drop]],16,0)</f>
        <v>#N/A</v>
      </c>
      <c r="AE15">
        <f>COUNTIF($AD$3:AD15,"X")</f>
        <v>0</v>
      </c>
      <c r="AF15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5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5">
        <v>13</v>
      </c>
      <c r="AJ15" t="e">
        <f t="shared" si="11"/>
        <v>#N/A</v>
      </c>
      <c r="AK15" t="e">
        <f t="shared" si="12"/>
        <v>#N/A</v>
      </c>
      <c r="AM15" s="1">
        <v>2</v>
      </c>
      <c r="AN15" s="1" t="e">
        <f>VLOOKUP(AM15,$AI$3:$AL$18,2,0)</f>
        <v>#N/A</v>
      </c>
      <c r="AO15" s="1" t="e">
        <f>VLOOKUP(AM15,$AI$3:$AL$18,3,0)</f>
        <v>#N/A</v>
      </c>
    </row>
    <row r="16" spans="1:41" x14ac:dyDescent="0.3">
      <c r="A16">
        <v>14</v>
      </c>
      <c r="B16" t="e">
        <f>VLOOKUP('Round 5'!$A16,INDEX(Entry!$E$2:$U$23,1,'Round 5'!$A$1*2-1):'Entry'!$U$33,18-$A$1*2,0)</f>
        <v>#N/A</v>
      </c>
      <c r="C16" t="e">
        <f>VLOOKUP('Round 5'!$A16,INDEX(Entry!$E$2:$U$23,1,'Round 5'!$A$1*2-1):'Entry'!$U$33,19-$A$1*2,0)</f>
        <v>#N/A</v>
      </c>
      <c r="H16">
        <f t="shared" si="5"/>
        <v>0</v>
      </c>
      <c r="L16">
        <f t="shared" si="0"/>
        <v>0</v>
      </c>
      <c r="M16">
        <f t="shared" si="6"/>
        <v>0</v>
      </c>
      <c r="N16">
        <f t="shared" si="7"/>
        <v>0</v>
      </c>
      <c r="O16">
        <f t="shared" si="8"/>
        <v>0</v>
      </c>
      <c r="P16">
        <f t="shared" si="9"/>
        <v>1</v>
      </c>
      <c r="R16" t="e">
        <f t="shared" si="10"/>
        <v>#N/A</v>
      </c>
      <c r="S16" t="e">
        <f t="shared" si="10"/>
        <v>#N/A</v>
      </c>
      <c r="T16">
        <f>Table27111519[[#This Row],[Max]]</f>
        <v>0</v>
      </c>
      <c r="U16">
        <f>Table27111519[[#This Row],[Min]]</f>
        <v>0</v>
      </c>
      <c r="X16" t="e">
        <f>Table16101418[[#This Row],[Column1]]</f>
        <v>#N/A</v>
      </c>
      <c r="Y16">
        <v>14</v>
      </c>
      <c r="Z16" t="e">
        <f t="shared" si="1"/>
        <v>#N/A</v>
      </c>
      <c r="AA16" t="e">
        <f t="shared" si="2"/>
        <v>#N/A</v>
      </c>
      <c r="AB16" t="e">
        <f t="shared" si="3"/>
        <v>#N/A</v>
      </c>
      <c r="AC16" t="e">
        <f t="shared" si="4"/>
        <v>#N/A</v>
      </c>
      <c r="AD16" t="e">
        <f>VLOOKUP(Table16101418[[#This Row],['#]],Table27111519[['#]:[Drop]],16,0)</f>
        <v>#N/A</v>
      </c>
      <c r="AE16">
        <f>COUNTIF($AD$3:AD16,"X")</f>
        <v>0</v>
      </c>
      <c r="AF16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6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6">
        <v>14</v>
      </c>
      <c r="AJ16" t="e">
        <f t="shared" si="11"/>
        <v>#N/A</v>
      </c>
      <c r="AK16" t="e">
        <f t="shared" si="12"/>
        <v>#N/A</v>
      </c>
      <c r="AM16" s="1">
        <v>15</v>
      </c>
      <c r="AN16" s="1" t="e">
        <f>VLOOKUP(AM16,$AI$3:$AL$18,2,0)</f>
        <v>#N/A</v>
      </c>
      <c r="AO16" s="1" t="e">
        <f>VLOOKUP(AM16,$AI$3:$AL$18,3,0)</f>
        <v>#N/A</v>
      </c>
    </row>
    <row r="17" spans="1:41" x14ac:dyDescent="0.3">
      <c r="A17">
        <v>15</v>
      </c>
      <c r="B17" t="e">
        <f>VLOOKUP('Round 5'!$A17,INDEX(Entry!$E$2:$U$23,1,'Round 5'!$A$1*2-1):'Entry'!$U$33,18-$A$1*2,0)</f>
        <v>#N/A</v>
      </c>
      <c r="C17" t="e">
        <f>VLOOKUP('Round 5'!$A17,INDEX(Entry!$E$2:$U$23,1,'Round 5'!$A$1*2-1):'Entry'!$U$33,19-$A$1*2,0)</f>
        <v>#N/A</v>
      </c>
      <c r="H17">
        <f t="shared" si="5"/>
        <v>0</v>
      </c>
      <c r="L17">
        <f t="shared" si="0"/>
        <v>0</v>
      </c>
      <c r="M17">
        <f t="shared" si="6"/>
        <v>0</v>
      </c>
      <c r="N17">
        <f t="shared" si="7"/>
        <v>0</v>
      </c>
      <c r="O17">
        <f t="shared" si="8"/>
        <v>0</v>
      </c>
      <c r="P17">
        <f t="shared" si="9"/>
        <v>1</v>
      </c>
      <c r="R17" t="e">
        <f t="shared" si="10"/>
        <v>#N/A</v>
      </c>
      <c r="S17" t="e">
        <f t="shared" si="10"/>
        <v>#N/A</v>
      </c>
      <c r="T17">
        <f>Table27111519[[#This Row],[Max]]</f>
        <v>0</v>
      </c>
      <c r="U17">
        <f>Table27111519[[#This Row],[Min]]</f>
        <v>0</v>
      </c>
      <c r="X17" t="e">
        <f>Table16101418[[#This Row],[Column1]]</f>
        <v>#N/A</v>
      </c>
      <c r="Y17">
        <v>15</v>
      </c>
      <c r="Z17" t="e">
        <f t="shared" si="1"/>
        <v>#N/A</v>
      </c>
      <c r="AA17" t="e">
        <f t="shared" si="2"/>
        <v>#N/A</v>
      </c>
      <c r="AB17" t="e">
        <f t="shared" si="3"/>
        <v>#N/A</v>
      </c>
      <c r="AC17" t="e">
        <f t="shared" si="4"/>
        <v>#N/A</v>
      </c>
      <c r="AD17" t="e">
        <f>VLOOKUP(Table16101418[[#This Row],['#]],Table27111519[['#]:[Drop]],16,0)</f>
        <v>#N/A</v>
      </c>
      <c r="AE17">
        <f>COUNTIF($AD$3:AD17,"X")</f>
        <v>0</v>
      </c>
      <c r="AF17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7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7">
        <v>15</v>
      </c>
      <c r="AJ17" t="e">
        <f t="shared" si="11"/>
        <v>#N/A</v>
      </c>
      <c r="AK17" t="e">
        <f t="shared" si="12"/>
        <v>#N/A</v>
      </c>
    </row>
    <row r="18" spans="1:41" x14ac:dyDescent="0.3">
      <c r="A18">
        <v>16</v>
      </c>
      <c r="B18" t="e">
        <f>VLOOKUP('Round 5'!$A18,INDEX(Entry!$E$2:$U$23,1,'Round 5'!$A$1*2-1):'Entry'!$U$33,18-$A$1*2,0)</f>
        <v>#N/A</v>
      </c>
      <c r="C18" t="e">
        <f>VLOOKUP('Round 5'!$A18,INDEX(Entry!$E$2:$U$23,1,'Round 5'!$A$1*2-1):'Entry'!$U$33,19-$A$1*2,0)</f>
        <v>#N/A</v>
      </c>
      <c r="H18">
        <f t="shared" si="5"/>
        <v>0</v>
      </c>
      <c r="L18">
        <f t="shared" si="0"/>
        <v>0</v>
      </c>
      <c r="M18">
        <f t="shared" si="6"/>
        <v>0</v>
      </c>
      <c r="N18">
        <f t="shared" si="7"/>
        <v>0</v>
      </c>
      <c r="O18">
        <f t="shared" si="8"/>
        <v>0</v>
      </c>
      <c r="P18">
        <f t="shared" si="9"/>
        <v>1</v>
      </c>
      <c r="R18" t="e">
        <f t="shared" si="10"/>
        <v>#N/A</v>
      </c>
      <c r="S18" t="e">
        <f t="shared" si="10"/>
        <v>#N/A</v>
      </c>
      <c r="T18">
        <f>Table27111519[[#This Row],[Max]]</f>
        <v>0</v>
      </c>
      <c r="U18">
        <f>Table27111519[[#This Row],[Min]]</f>
        <v>0</v>
      </c>
      <c r="X18" t="e">
        <f>Table16101418[[#This Row],[Column1]]</f>
        <v>#N/A</v>
      </c>
      <c r="Y18">
        <v>16</v>
      </c>
      <c r="Z18" t="e">
        <f t="shared" si="1"/>
        <v>#N/A</v>
      </c>
      <c r="AA18" t="e">
        <f t="shared" si="2"/>
        <v>#N/A</v>
      </c>
      <c r="AB18" t="e">
        <f t="shared" si="3"/>
        <v>#N/A</v>
      </c>
      <c r="AC18" t="e">
        <f t="shared" si="4"/>
        <v>#N/A</v>
      </c>
      <c r="AD18" t="e">
        <f>VLOOKUP(Table16101418[[#This Row],['#]],Table27111519[['#]:[Drop]],16,0)</f>
        <v>#N/A</v>
      </c>
      <c r="AE18">
        <f>COUNTIF($AD$3:AD18,"X")</f>
        <v>0</v>
      </c>
      <c r="AF18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8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I18">
        <v>16</v>
      </c>
      <c r="AJ18" t="e">
        <f t="shared" si="11"/>
        <v>#N/A</v>
      </c>
      <c r="AK18" t="e">
        <f t="shared" si="12"/>
        <v>#N/A</v>
      </c>
      <c r="AM18" s="1">
        <v>7</v>
      </c>
      <c r="AN18" s="1" t="e">
        <f>VLOOKUP(AM18,$AI$3:$AL$18,2,0)</f>
        <v>#N/A</v>
      </c>
      <c r="AO18" s="1" t="e">
        <f>VLOOKUP(AM18,$AI$3:$AL$18,3,0)</f>
        <v>#N/A</v>
      </c>
    </row>
    <row r="19" spans="1:41" x14ac:dyDescent="0.3">
      <c r="A19">
        <v>17</v>
      </c>
      <c r="B19" t="e">
        <f>VLOOKUP('Round 5'!$A19,INDEX(Entry!$E$2:$U$23,1,'Round 5'!$A$1*2-1):'Entry'!$U$33,18-$A$1*2,0)</f>
        <v>#N/A</v>
      </c>
      <c r="C19" t="e">
        <f>VLOOKUP('Round 5'!$A19,INDEX(Entry!$E$2:$U$23,1,'Round 5'!$A$1*2-1):'Entry'!$U$33,19-$A$1*2,0)</f>
        <v>#N/A</v>
      </c>
      <c r="H19">
        <f t="shared" si="5"/>
        <v>0</v>
      </c>
      <c r="L19">
        <f t="shared" si="0"/>
        <v>0</v>
      </c>
      <c r="M19">
        <f t="shared" si="6"/>
        <v>0</v>
      </c>
      <c r="N19">
        <f t="shared" si="7"/>
        <v>0</v>
      </c>
      <c r="O19">
        <f t="shared" si="8"/>
        <v>0</v>
      </c>
      <c r="P19">
        <f t="shared" si="9"/>
        <v>1</v>
      </c>
      <c r="R19" t="e">
        <f t="shared" si="10"/>
        <v>#N/A</v>
      </c>
      <c r="S19" t="e">
        <f t="shared" si="10"/>
        <v>#N/A</v>
      </c>
      <c r="T19">
        <f>Table27111519[[#This Row],[Max]]</f>
        <v>0</v>
      </c>
      <c r="U19">
        <f>Table27111519[[#This Row],[Min]]</f>
        <v>0</v>
      </c>
      <c r="X19" t="e">
        <f>Table16101418[[#This Row],[Column1]]</f>
        <v>#N/A</v>
      </c>
      <c r="Y19">
        <v>17</v>
      </c>
      <c r="Z19" t="e">
        <f t="shared" si="1"/>
        <v>#N/A</v>
      </c>
      <c r="AA19" t="e">
        <f t="shared" si="2"/>
        <v>#N/A</v>
      </c>
      <c r="AB19" t="e">
        <f t="shared" si="3"/>
        <v>#N/A</v>
      </c>
      <c r="AC19" t="e">
        <f t="shared" si="4"/>
        <v>#N/A</v>
      </c>
      <c r="AD19" t="e">
        <f>VLOOKUP(Table16101418[[#This Row],['#]],Table27111519[['#]:[Drop]],16,0)</f>
        <v>#N/A</v>
      </c>
      <c r="AE19">
        <f>COUNTIF($AD$3:AD19,"X")</f>
        <v>0</v>
      </c>
      <c r="AF19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19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M19" s="1">
        <v>10</v>
      </c>
      <c r="AN19" s="1" t="e">
        <f>VLOOKUP(AM19,$AI$3:$AL$18,2,0)</f>
        <v>#N/A</v>
      </c>
      <c r="AO19" s="1" t="e">
        <f>VLOOKUP(AM19,$AI$3:$AL$18,3,0)</f>
        <v>#N/A</v>
      </c>
    </row>
    <row r="20" spans="1:41" x14ac:dyDescent="0.3">
      <c r="A20">
        <v>18</v>
      </c>
      <c r="B20" t="e">
        <f>VLOOKUP('Round 5'!$A20,INDEX(Entry!$E$2:$U$23,1,'Round 5'!$A$1*2-1):'Entry'!$U$33,18-$A$1*2,0)</f>
        <v>#N/A</v>
      </c>
      <c r="C20" t="e">
        <f>VLOOKUP('Round 5'!$A20,INDEX(Entry!$E$2:$U$23,1,'Round 5'!$A$1*2-1):'Entry'!$U$33,19-$A$1*2,0)</f>
        <v>#N/A</v>
      </c>
      <c r="H20">
        <f t="shared" si="5"/>
        <v>0</v>
      </c>
      <c r="L20">
        <f t="shared" si="0"/>
        <v>0</v>
      </c>
      <c r="M20">
        <f t="shared" si="6"/>
        <v>0</v>
      </c>
      <c r="N20">
        <f t="shared" si="7"/>
        <v>0</v>
      </c>
      <c r="O20">
        <f t="shared" si="8"/>
        <v>0</v>
      </c>
      <c r="P20">
        <f t="shared" si="9"/>
        <v>1</v>
      </c>
      <c r="R20" t="e">
        <f t="shared" si="10"/>
        <v>#N/A</v>
      </c>
      <c r="S20" t="e">
        <f t="shared" si="10"/>
        <v>#N/A</v>
      </c>
      <c r="T20">
        <f>Table27111519[[#This Row],[Max]]</f>
        <v>0</v>
      </c>
      <c r="U20">
        <f>Table27111519[[#This Row],[Min]]</f>
        <v>0</v>
      </c>
      <c r="X20" t="e">
        <f>Table16101418[[#This Row],[Column1]]</f>
        <v>#N/A</v>
      </c>
      <c r="Y20">
        <v>18</v>
      </c>
      <c r="Z20" t="e">
        <f t="shared" si="1"/>
        <v>#N/A</v>
      </c>
      <c r="AA20" t="e">
        <f t="shared" si="2"/>
        <v>#N/A</v>
      </c>
      <c r="AB20" t="e">
        <f t="shared" si="3"/>
        <v>#N/A</v>
      </c>
      <c r="AC20" t="e">
        <f t="shared" si="4"/>
        <v>#N/A</v>
      </c>
      <c r="AD20" t="e">
        <f>VLOOKUP(Table16101418[[#This Row],['#]],Table27111519[['#]:[Drop]],16,0)</f>
        <v>#N/A</v>
      </c>
      <c r="AE20">
        <f>COUNTIF($AD$3:AD20,"X")</f>
        <v>0</v>
      </c>
      <c r="AF20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0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</row>
    <row r="21" spans="1:41" x14ac:dyDescent="0.3">
      <c r="A21">
        <v>19</v>
      </c>
      <c r="B21" t="e">
        <f>VLOOKUP('Round 5'!$A21,INDEX(Entry!$E$2:$U$23,1,'Round 5'!$A$1*2-1):'Entry'!$U$33,18-$A$1*2,0)</f>
        <v>#N/A</v>
      </c>
      <c r="C21" t="e">
        <f>VLOOKUP('Round 5'!$A21,INDEX(Entry!$E$2:$U$23,1,'Round 5'!$A$1*2-1):'Entry'!$U$33,19-$A$1*2,0)</f>
        <v>#N/A</v>
      </c>
      <c r="H21">
        <f t="shared" si="5"/>
        <v>0</v>
      </c>
      <c r="L21">
        <f t="shared" si="0"/>
        <v>0</v>
      </c>
      <c r="M21">
        <f t="shared" si="6"/>
        <v>0</v>
      </c>
      <c r="N21">
        <f t="shared" si="7"/>
        <v>0</v>
      </c>
      <c r="O21">
        <f t="shared" si="8"/>
        <v>0</v>
      </c>
      <c r="P21">
        <f t="shared" si="9"/>
        <v>1</v>
      </c>
      <c r="R21" t="e">
        <f t="shared" si="10"/>
        <v>#N/A</v>
      </c>
      <c r="S21" t="e">
        <f t="shared" si="10"/>
        <v>#N/A</v>
      </c>
      <c r="T21">
        <f>Table27111519[[#This Row],[Max]]</f>
        <v>0</v>
      </c>
      <c r="U21">
        <f>Table27111519[[#This Row],[Min]]</f>
        <v>0</v>
      </c>
      <c r="X21" t="e">
        <f>Table16101418[[#This Row],[Column1]]</f>
        <v>#N/A</v>
      </c>
      <c r="Y21">
        <v>19</v>
      </c>
      <c r="Z21" t="e">
        <f t="shared" si="1"/>
        <v>#N/A</v>
      </c>
      <c r="AA21" t="e">
        <f t="shared" si="2"/>
        <v>#N/A</v>
      </c>
      <c r="AB21" t="e">
        <f t="shared" si="3"/>
        <v>#N/A</v>
      </c>
      <c r="AC21" t="e">
        <f t="shared" si="4"/>
        <v>#N/A</v>
      </c>
      <c r="AD21" t="e">
        <f>VLOOKUP(Table16101418[[#This Row],['#]],Table27111519[['#]:[Drop]],16,0)</f>
        <v>#N/A</v>
      </c>
      <c r="AE21">
        <f>COUNTIF($AD$3:AD21,"X")</f>
        <v>0</v>
      </c>
      <c r="AF21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1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M21" s="1">
        <v>3</v>
      </c>
      <c r="AN21" s="1" t="e">
        <f>VLOOKUP(AM21,$AI$3:$AL$18,2,0)</f>
        <v>#N/A</v>
      </c>
      <c r="AO21" s="1" t="e">
        <f>VLOOKUP(AM21,$AI$3:$AL$18,3,0)</f>
        <v>#N/A</v>
      </c>
    </row>
    <row r="22" spans="1:41" x14ac:dyDescent="0.3">
      <c r="A22">
        <v>20</v>
      </c>
      <c r="B22" t="e">
        <f>VLOOKUP('Round 5'!$A22,INDEX(Entry!$E$2:$U$23,1,'Round 5'!$A$1*2-1):'Entry'!$U$33,18-$A$1*2,0)</f>
        <v>#N/A</v>
      </c>
      <c r="C22" t="e">
        <f>VLOOKUP('Round 5'!$A22,INDEX(Entry!$E$2:$U$23,1,'Round 5'!$A$1*2-1):'Entry'!$U$33,19-$A$1*2,0)</f>
        <v>#N/A</v>
      </c>
      <c r="H22">
        <f t="shared" si="5"/>
        <v>0</v>
      </c>
      <c r="L22">
        <f t="shared" si="0"/>
        <v>0</v>
      </c>
      <c r="M22">
        <f t="shared" si="6"/>
        <v>0</v>
      </c>
      <c r="N22">
        <f t="shared" si="7"/>
        <v>0</v>
      </c>
      <c r="O22">
        <f t="shared" si="8"/>
        <v>0</v>
      </c>
      <c r="P22">
        <f t="shared" si="9"/>
        <v>1</v>
      </c>
      <c r="R22" t="e">
        <f t="shared" si="10"/>
        <v>#N/A</v>
      </c>
      <c r="S22" t="e">
        <f t="shared" si="10"/>
        <v>#N/A</v>
      </c>
      <c r="T22">
        <f>Table27111519[[#This Row],[Max]]</f>
        <v>0</v>
      </c>
      <c r="U22">
        <f>Table27111519[[#This Row],[Min]]</f>
        <v>0</v>
      </c>
      <c r="X22" t="e">
        <f>Table16101418[[#This Row],[Column1]]</f>
        <v>#N/A</v>
      </c>
      <c r="Y22">
        <v>20</v>
      </c>
      <c r="Z22" t="e">
        <f t="shared" si="1"/>
        <v>#N/A</v>
      </c>
      <c r="AA22" t="e">
        <f t="shared" si="2"/>
        <v>#N/A</v>
      </c>
      <c r="AB22" t="e">
        <f t="shared" si="3"/>
        <v>#N/A</v>
      </c>
      <c r="AC22" t="e">
        <f t="shared" si="4"/>
        <v>#N/A</v>
      </c>
      <c r="AD22" t="e">
        <f>VLOOKUP(Table16101418[[#This Row],['#]],Table27111519[['#]:[Drop]],16,0)</f>
        <v>#N/A</v>
      </c>
      <c r="AE22">
        <f>COUNTIF($AD$3:AD22,"X")</f>
        <v>0</v>
      </c>
      <c r="AF22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2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M22" s="1">
        <v>14</v>
      </c>
      <c r="AN22" s="1" t="e">
        <f>VLOOKUP(AM22,$AI$3:$AL$18,2,0)</f>
        <v>#N/A</v>
      </c>
      <c r="AO22" s="1" t="e">
        <f>VLOOKUP(AM22,$AI$3:$AL$18,3,0)</f>
        <v>#N/A</v>
      </c>
    </row>
    <row r="23" spans="1:41" x14ac:dyDescent="0.3">
      <c r="A23">
        <v>21</v>
      </c>
      <c r="B23" t="e">
        <f>VLOOKUP('Round 5'!$A23,INDEX(Entry!$E$2:$U$23,1,'Round 5'!$A$1*2-1):'Entry'!$U$33,18-$A$1*2,0)</f>
        <v>#N/A</v>
      </c>
      <c r="C23" t="e">
        <f>VLOOKUP('Round 5'!$A23,INDEX(Entry!$E$2:$U$23,1,'Round 5'!$A$1*2-1):'Entry'!$U$33,19-$A$1*2,0)</f>
        <v>#N/A</v>
      </c>
      <c r="H23">
        <f t="shared" si="5"/>
        <v>0</v>
      </c>
      <c r="L23">
        <f t="shared" si="0"/>
        <v>0</v>
      </c>
      <c r="M23">
        <f t="shared" si="6"/>
        <v>0</v>
      </c>
      <c r="N23">
        <f t="shared" si="7"/>
        <v>0</v>
      </c>
      <c r="O23">
        <f t="shared" si="8"/>
        <v>0</v>
      </c>
      <c r="P23">
        <f t="shared" si="9"/>
        <v>1</v>
      </c>
      <c r="R23" t="e">
        <f t="shared" si="10"/>
        <v>#N/A</v>
      </c>
      <c r="S23" t="e">
        <f t="shared" si="10"/>
        <v>#N/A</v>
      </c>
      <c r="T23">
        <f>Table27111519[[#This Row],[Max]]</f>
        <v>0</v>
      </c>
      <c r="U23">
        <f>Table27111519[[#This Row],[Min]]</f>
        <v>0</v>
      </c>
      <c r="X23" t="e">
        <f>Table16101418[[#This Row],[Column1]]</f>
        <v>#N/A</v>
      </c>
      <c r="Y23">
        <v>21</v>
      </c>
      <c r="Z23" t="e">
        <f t="shared" si="1"/>
        <v>#N/A</v>
      </c>
      <c r="AA23" t="e">
        <f t="shared" si="2"/>
        <v>#N/A</v>
      </c>
      <c r="AB23" t="e">
        <f t="shared" si="3"/>
        <v>#N/A</v>
      </c>
      <c r="AC23" t="e">
        <f t="shared" si="4"/>
        <v>#N/A</v>
      </c>
      <c r="AD23" t="e">
        <f>VLOOKUP(Table16101418[[#This Row],['#]],Table27111519[['#]:[Drop]],16,0)</f>
        <v>#N/A</v>
      </c>
      <c r="AE23">
        <f>COUNTIF($AD$3:AD23,"X")</f>
        <v>0</v>
      </c>
      <c r="AF23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3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</row>
    <row r="24" spans="1:41" x14ac:dyDescent="0.3">
      <c r="A24">
        <v>22</v>
      </c>
      <c r="B24" t="e">
        <f>VLOOKUP('Round 5'!$A24,INDEX(Entry!$E$2:$U$23,1,'Round 5'!$A$1*2-1):'Entry'!$U$33,18-$A$1*2,0)</f>
        <v>#N/A</v>
      </c>
      <c r="C24" t="e">
        <f>VLOOKUP('Round 5'!$A24,INDEX(Entry!$E$2:$U$23,1,'Round 5'!$A$1*2-1):'Entry'!$U$33,19-$A$1*2,0)</f>
        <v>#N/A</v>
      </c>
      <c r="H24">
        <f t="shared" si="5"/>
        <v>0</v>
      </c>
      <c r="L24">
        <f t="shared" si="0"/>
        <v>0</v>
      </c>
      <c r="M24">
        <f t="shared" si="6"/>
        <v>0</v>
      </c>
      <c r="N24">
        <f t="shared" si="7"/>
        <v>0</v>
      </c>
      <c r="O24">
        <f t="shared" si="8"/>
        <v>0</v>
      </c>
      <c r="P24">
        <f t="shared" si="9"/>
        <v>1</v>
      </c>
      <c r="R24" t="e">
        <f t="shared" si="10"/>
        <v>#N/A</v>
      </c>
      <c r="S24" t="e">
        <f t="shared" si="10"/>
        <v>#N/A</v>
      </c>
      <c r="T24">
        <f>Table27111519[[#This Row],[Max]]</f>
        <v>0</v>
      </c>
      <c r="U24">
        <f>Table27111519[[#This Row],[Min]]</f>
        <v>0</v>
      </c>
      <c r="X24" t="e">
        <f>Table16101418[[#This Row],[Column1]]</f>
        <v>#N/A</v>
      </c>
      <c r="Y24">
        <v>22</v>
      </c>
      <c r="Z24" t="e">
        <f t="shared" si="1"/>
        <v>#N/A</v>
      </c>
      <c r="AA24" t="e">
        <f t="shared" si="2"/>
        <v>#N/A</v>
      </c>
      <c r="AB24" t="e">
        <f t="shared" si="3"/>
        <v>#N/A</v>
      </c>
      <c r="AC24" t="e">
        <f t="shared" si="4"/>
        <v>#N/A</v>
      </c>
      <c r="AD24" t="e">
        <f>VLOOKUP(Table16101418[[#This Row],['#]],Table27111519[['#]:[Drop]],16,0)</f>
        <v>#N/A</v>
      </c>
      <c r="AE24">
        <f>COUNTIF($AD$3:AD24,"X")</f>
        <v>0</v>
      </c>
      <c r="AF24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4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M24" s="1">
        <v>6</v>
      </c>
      <c r="AN24" s="1" t="e">
        <f>VLOOKUP(AM24,$AI$3:$AL$18,2,0)</f>
        <v>#N/A</v>
      </c>
      <c r="AO24" s="1" t="e">
        <f>VLOOKUP(AM24,$AI$3:$AL$18,3,0)</f>
        <v>#N/A</v>
      </c>
    </row>
    <row r="25" spans="1:41" x14ac:dyDescent="0.3">
      <c r="A25">
        <v>23</v>
      </c>
      <c r="B25" t="e">
        <f>VLOOKUP('Round 5'!$A25,INDEX(Entry!$E$2:$U$23,1,'Round 5'!$A$1*2-1):'Entry'!$U$33,18-$A$1*2,0)</f>
        <v>#N/A</v>
      </c>
      <c r="C25" t="e">
        <f>VLOOKUP('Round 5'!$A25,INDEX(Entry!$E$2:$U$23,1,'Round 5'!$A$1*2-1):'Entry'!$U$33,19-$A$1*2,0)</f>
        <v>#N/A</v>
      </c>
      <c r="H25">
        <f t="shared" si="5"/>
        <v>0</v>
      </c>
      <c r="L25">
        <f t="shared" si="0"/>
        <v>0</v>
      </c>
      <c r="M25">
        <f t="shared" si="6"/>
        <v>0</v>
      </c>
      <c r="N25">
        <f t="shared" si="7"/>
        <v>0</v>
      </c>
      <c r="O25">
        <f t="shared" si="8"/>
        <v>0</v>
      </c>
      <c r="P25">
        <f t="shared" si="9"/>
        <v>1</v>
      </c>
      <c r="R25" t="e">
        <f t="shared" si="10"/>
        <v>#N/A</v>
      </c>
      <c r="S25" t="e">
        <f t="shared" si="10"/>
        <v>#N/A</v>
      </c>
      <c r="T25">
        <f>Table27111519[[#This Row],[Max]]</f>
        <v>0</v>
      </c>
      <c r="U25">
        <f>Table27111519[[#This Row],[Min]]</f>
        <v>0</v>
      </c>
      <c r="X25" t="e">
        <f>Table16101418[[#This Row],[Column1]]</f>
        <v>#N/A</v>
      </c>
      <c r="Y25">
        <v>23</v>
      </c>
      <c r="Z25" t="e">
        <f t="shared" si="1"/>
        <v>#N/A</v>
      </c>
      <c r="AA25" t="e">
        <f t="shared" si="2"/>
        <v>#N/A</v>
      </c>
      <c r="AB25" t="e">
        <f t="shared" si="3"/>
        <v>#N/A</v>
      </c>
      <c r="AC25" t="e">
        <f t="shared" si="4"/>
        <v>#N/A</v>
      </c>
      <c r="AD25" t="e">
        <f>VLOOKUP(Table16101418[[#This Row],['#]],Table27111519[['#]:[Drop]],16,0)</f>
        <v>#N/A</v>
      </c>
      <c r="AE25">
        <f>COUNTIF($AD$3:AD25,"X")</f>
        <v>0</v>
      </c>
      <c r="AF25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5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  <c r="AM25" s="1">
        <v>11</v>
      </c>
      <c r="AN25" s="1" t="e">
        <f>VLOOKUP(AM25,$AI$3:$AL$18,2,0)</f>
        <v>#N/A</v>
      </c>
      <c r="AO25" s="1" t="e">
        <f>VLOOKUP(AM25,$AI$3:$AL$18,3,0)</f>
        <v>#N/A</v>
      </c>
    </row>
    <row r="26" spans="1:41" x14ac:dyDescent="0.3">
      <c r="A26">
        <v>24</v>
      </c>
      <c r="B26" t="e">
        <f>VLOOKUP('Round 5'!$A26,INDEX(Entry!$E$2:$U$23,1,'Round 5'!$A$1*2-1):'Entry'!$U$33,18-$A$1*2,0)</f>
        <v>#N/A</v>
      </c>
      <c r="C26" t="e">
        <f>VLOOKUP('Round 5'!$A26,INDEX(Entry!$E$2:$U$23,1,'Round 5'!$A$1*2-1):'Entry'!$U$33,19-$A$1*2,0)</f>
        <v>#N/A</v>
      </c>
      <c r="H26">
        <f t="shared" si="5"/>
        <v>0</v>
      </c>
      <c r="L26">
        <f t="shared" si="0"/>
        <v>0</v>
      </c>
      <c r="M26">
        <f t="shared" si="6"/>
        <v>0</v>
      </c>
      <c r="N26">
        <f t="shared" si="7"/>
        <v>0</v>
      </c>
      <c r="O26">
        <f t="shared" si="8"/>
        <v>0</v>
      </c>
      <c r="P26">
        <f t="shared" si="9"/>
        <v>1</v>
      </c>
      <c r="R26" t="e">
        <f t="shared" si="10"/>
        <v>#N/A</v>
      </c>
      <c r="S26" t="e">
        <f t="shared" si="10"/>
        <v>#N/A</v>
      </c>
      <c r="T26">
        <f>Table27111519[[#This Row],[Max]]</f>
        <v>0</v>
      </c>
      <c r="U26">
        <f>Table27111519[[#This Row],[Min]]</f>
        <v>0</v>
      </c>
      <c r="X26" t="e">
        <f>Table16101418[[#This Row],[Column1]]</f>
        <v>#N/A</v>
      </c>
      <c r="Y26">
        <v>24</v>
      </c>
      <c r="Z26" t="e">
        <f t="shared" si="1"/>
        <v>#N/A</v>
      </c>
      <c r="AA26" t="e">
        <f t="shared" si="2"/>
        <v>#N/A</v>
      </c>
      <c r="AB26" t="e">
        <f t="shared" si="3"/>
        <v>#N/A</v>
      </c>
      <c r="AC26" t="e">
        <f t="shared" si="4"/>
        <v>#N/A</v>
      </c>
      <c r="AD26" t="e">
        <f>VLOOKUP(Table16101418[[#This Row],['#]],Table27111519[['#]:[Drop]],16,0)</f>
        <v>#N/A</v>
      </c>
      <c r="AE26">
        <f>COUNTIF($AD$3:AD26,"X")</f>
        <v>0</v>
      </c>
      <c r="AF26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6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</row>
    <row r="27" spans="1:41" x14ac:dyDescent="0.3">
      <c r="A27">
        <v>25</v>
      </c>
      <c r="B27" t="e">
        <f>VLOOKUP('Round 5'!$A27,INDEX(Entry!$E$2:$U$23,1,'Round 5'!$A$1*2-1):'Entry'!$U$33,18-$A$1*2,0)</f>
        <v>#N/A</v>
      </c>
      <c r="C27" t="e">
        <f>VLOOKUP('Round 5'!$A27,INDEX(Entry!$E$2:$U$23,1,'Round 5'!$A$1*2-1):'Entry'!$U$33,19-$A$1*2,0)</f>
        <v>#N/A</v>
      </c>
      <c r="H27">
        <f t="shared" si="5"/>
        <v>0</v>
      </c>
      <c r="L27">
        <f t="shared" si="0"/>
        <v>0</v>
      </c>
      <c r="M27">
        <f t="shared" si="6"/>
        <v>0</v>
      </c>
      <c r="N27">
        <f t="shared" si="7"/>
        <v>0</v>
      </c>
      <c r="O27">
        <f t="shared" si="8"/>
        <v>0</v>
      </c>
      <c r="P27">
        <f t="shared" si="9"/>
        <v>1</v>
      </c>
      <c r="R27" t="e">
        <f t="shared" si="10"/>
        <v>#N/A</v>
      </c>
      <c r="S27" t="e">
        <f t="shared" si="10"/>
        <v>#N/A</v>
      </c>
      <c r="T27">
        <f>Table27111519[[#This Row],[Max]]</f>
        <v>0</v>
      </c>
      <c r="U27">
        <f>Table27111519[[#This Row],[Min]]</f>
        <v>0</v>
      </c>
      <c r="X27" t="e">
        <f>Table16101418[[#This Row],[Column1]]</f>
        <v>#N/A</v>
      </c>
      <c r="Y27">
        <v>25</v>
      </c>
      <c r="Z27" t="e">
        <f t="shared" si="1"/>
        <v>#N/A</v>
      </c>
      <c r="AA27" t="e">
        <f t="shared" si="2"/>
        <v>#N/A</v>
      </c>
      <c r="AB27" t="e">
        <f t="shared" si="3"/>
        <v>#N/A</v>
      </c>
      <c r="AC27" t="e">
        <f t="shared" si="4"/>
        <v>#N/A</v>
      </c>
      <c r="AD27" t="e">
        <f>VLOOKUP(Table16101418[[#This Row],['#]],Table27111519[['#]:[Drop]],16,0)</f>
        <v>#N/A</v>
      </c>
      <c r="AE27">
        <f>COUNTIF($AD$3:AD27,"X")</f>
        <v>0</v>
      </c>
      <c r="AF27" t="e">
        <f>IF(Table16101418[[#This Row],[Drop Hide]]="X",16+Table16101418[[#This Row],[Count drop hide]],IF(Table16101418[[#This Row],[Rank]]-Table16101418[[#This Row],[Count drop hide]]&gt;16,Table16101418[[#This Row],[Rank]],Table16101418[[#This Row],[Rank]]-Table16101418[[#This Row],[Count drop hide]]))</f>
        <v>#N/A</v>
      </c>
      <c r="AG27" t="e">
        <f>IF(Table16101418[[#This Row],[Drop Hide]]="X",10,IF(AND(Table16101418[[#This Row],[Highest Score]]&gt;0,Table16101418[[#This Row],[Lower Score]]&gt;0),5,IF(AND(Table16101418[[#This Row],[Highest Score]]&gt;0,Table16101418[[#This Row],[Lower Score]]=0),2,IF(AND(Table16101418[[#This Row],[Highest Score]]=0,Table16101418[[#This Row],[Lower Score]]=0,VLOOKUP(Table16101418[[#This Row],['#]],Table27111519[['#]:[Scrut]],3,0)="X"),1,0))))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94E38F72-5AA7-44F3-B457-5A9444EF133C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6B921-9299-4A5A-BB7F-023552495E97}">
  <dimension ref="A1:AK40"/>
  <sheetViews>
    <sheetView topLeftCell="A6" workbookViewId="0">
      <selection activeCell="B12" sqref="B12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 t="e">
        <f>VLOOKUP(A2,'Round 5'!$AI$3:$AK$18,2,0)</f>
        <v>#N/A</v>
      </c>
      <c r="C2" s="1" t="e">
        <f>VLOOKUP(A2,'Round 5'!$AI$3:$AK$18,3,0)</f>
        <v>#N/A</v>
      </c>
      <c r="D2" s="1">
        <f>AB3</f>
        <v>0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 t="str">
        <f>IF(AND(D2=0,D4=0),"",IF(D2&gt;D4,A2,A4))</f>
        <v/>
      </c>
      <c r="G3" s="1" t="str">
        <f>IF(AND(D2=0,D4=0),"",IF(D2&gt;D4,B2,B4))</f>
        <v/>
      </c>
      <c r="H3" s="1" t="str">
        <f>IF(AND(D2=0,D4=0),"",IF(D2&gt;D4,C2,C4))</f>
        <v/>
      </c>
      <c r="I3" s="1">
        <f>AB27</f>
        <v>0</v>
      </c>
      <c r="J3" s="2"/>
      <c r="Y3" s="1">
        <f>A2</f>
        <v>1</v>
      </c>
      <c r="Z3" s="1" t="e">
        <f>B2</f>
        <v>#N/A</v>
      </c>
      <c r="AA3" s="1" t="e">
        <f>C2</f>
        <v>#N/A</v>
      </c>
      <c r="AB3" s="4"/>
      <c r="AD3" s="1" t="str">
        <f>K5</f>
        <v/>
      </c>
      <c r="AE3" s="1" t="str">
        <f t="shared" ref="AE3:AF3" si="0">L5</f>
        <v/>
      </c>
      <c r="AF3" s="1" t="str">
        <f t="shared" si="0"/>
        <v/>
      </c>
      <c r="AG3" s="4"/>
    </row>
    <row r="4" spans="1:37" x14ac:dyDescent="0.3">
      <c r="A4" s="1">
        <v>16</v>
      </c>
      <c r="B4" s="1" t="e">
        <f>VLOOKUP(A4,'Round 5'!$AI$3:$AK$18,2,0)</f>
        <v>#N/A</v>
      </c>
      <c r="C4" s="1" t="e">
        <f>VLOOKUP(A4,'Round 5'!$AI$3:$AK$18,3,0)</f>
        <v>#N/A</v>
      </c>
      <c r="D4" s="1">
        <f>AB4</f>
        <v>0</v>
      </c>
      <c r="E4" s="2"/>
      <c r="J4" s="2"/>
      <c r="Y4" s="1">
        <f>A4</f>
        <v>16</v>
      </c>
      <c r="Z4" s="1" t="e">
        <f>B4</f>
        <v>#N/A</v>
      </c>
      <c r="AA4" s="1" t="e">
        <f>C4</f>
        <v>#N/A</v>
      </c>
      <c r="AB4" s="4"/>
      <c r="AD4" s="1" t="str">
        <f>K13</f>
        <v/>
      </c>
      <c r="AE4" s="1" t="str">
        <f t="shared" ref="AE4:AF4" si="1">L13</f>
        <v/>
      </c>
      <c r="AF4" s="1" t="str">
        <f t="shared" si="1"/>
        <v/>
      </c>
      <c r="AG4" s="4"/>
    </row>
    <row r="5" spans="1:37" x14ac:dyDescent="0.3">
      <c r="J5" s="2"/>
      <c r="K5" s="1" t="str">
        <f>IF(AND(I3=0,I7=0),"",IF(I3&gt;I7,F3,F7))</f>
        <v/>
      </c>
      <c r="L5" s="1" t="str">
        <f>IF(AND(I3=0,I7=0),"",IF(I3&gt;I7,G3,G7))</f>
        <v/>
      </c>
      <c r="M5" s="1" t="str">
        <f>IF(AND(I3=0,I7=0),"",IF(I3&gt;I7,H3,H7))</f>
        <v/>
      </c>
      <c r="N5" s="1">
        <f>AG3</f>
        <v>0</v>
      </c>
      <c r="O5" s="2"/>
      <c r="AD5" t="s">
        <v>88</v>
      </c>
    </row>
    <row r="6" spans="1:37" x14ac:dyDescent="0.3">
      <c r="A6" s="1">
        <v>8</v>
      </c>
      <c r="B6" s="1" t="e">
        <f>VLOOKUP(A6,'Round 5'!$AI$3:$AK$18,2,0)</f>
        <v>#N/A</v>
      </c>
      <c r="C6" s="1" t="e">
        <f>VLOOKUP(A6,'Round 5'!$AI$3:$AK$18,3,0)</f>
        <v>#N/A</v>
      </c>
      <c r="D6" s="1">
        <f>AB6</f>
        <v>0</v>
      </c>
      <c r="E6" s="2"/>
      <c r="J6" s="2"/>
      <c r="O6" s="2"/>
      <c r="Y6" s="1">
        <f>A6</f>
        <v>8</v>
      </c>
      <c r="Z6" s="1" t="e">
        <f>B6</f>
        <v>#N/A</v>
      </c>
      <c r="AA6" s="1" t="e">
        <f>C6</f>
        <v>#N/A</v>
      </c>
      <c r="AB6" s="4"/>
      <c r="AD6" s="1" t="str">
        <f>K21</f>
        <v/>
      </c>
      <c r="AE6" s="1" t="str">
        <f t="shared" ref="AE6:AF6" si="2">L21</f>
        <v/>
      </c>
      <c r="AF6" s="1" t="str">
        <f t="shared" si="2"/>
        <v/>
      </c>
      <c r="AG6" s="4"/>
      <c r="AI6" t="str">
        <f>IF(F3=K5,F7,F3)</f>
        <v/>
      </c>
      <c r="AJ6" t="e">
        <f>VLOOKUP(AI6,$A$2:$C$32,2,0)</f>
        <v>#N/A</v>
      </c>
      <c r="AK6" t="e">
        <f>VLOOKUP(AI6,$A$2:$C$32,3,0)</f>
        <v>#N/A</v>
      </c>
    </row>
    <row r="7" spans="1:37" x14ac:dyDescent="0.3">
      <c r="A7" s="3"/>
      <c r="E7" s="2"/>
      <c r="F7" s="1" t="str">
        <f>IF(AND(D6=0,D8=0),"",IF(D6&gt;D8,A6,A8))</f>
        <v/>
      </c>
      <c r="G7" s="1" t="str">
        <f>IF(AND(D6=0,D8=0),"",IF(D6&gt;D8,B6,B8))</f>
        <v/>
      </c>
      <c r="H7" s="1" t="str">
        <f>IF(AND(D6=0,D8=0),"",IF(D6&gt;D8,C6,C8))</f>
        <v/>
      </c>
      <c r="I7" s="1">
        <f>AB28</f>
        <v>0</v>
      </c>
      <c r="J7" s="2"/>
      <c r="O7" s="2"/>
      <c r="Y7" s="1">
        <f>A8</f>
        <v>9</v>
      </c>
      <c r="Z7" s="1" t="e">
        <f>B8</f>
        <v>#N/A</v>
      </c>
      <c r="AA7" s="1" t="e">
        <f>C8</f>
        <v>#N/A</v>
      </c>
      <c r="AB7" s="4"/>
      <c r="AD7" s="1" t="str">
        <f>K29</f>
        <v/>
      </c>
      <c r="AE7" s="1" t="str">
        <f t="shared" ref="AE7:AF7" si="3">L29</f>
        <v/>
      </c>
      <c r="AF7" s="1" t="str">
        <f t="shared" si="3"/>
        <v/>
      </c>
      <c r="AG7" s="4"/>
      <c r="AI7" t="str">
        <f>IF(F11=K13,F15,F11)</f>
        <v/>
      </c>
      <c r="AJ7" t="e">
        <f t="shared" ref="AJ7:AJ18" si="4">VLOOKUP(AI7,$A$2:$C$32,2,0)</f>
        <v>#N/A</v>
      </c>
      <c r="AK7" t="e">
        <f t="shared" ref="AK7:AK18" si="5">VLOOKUP(AI7,$A$2:$C$32,3,0)</f>
        <v>#N/A</v>
      </c>
    </row>
    <row r="8" spans="1:37" x14ac:dyDescent="0.3">
      <c r="A8" s="1">
        <v>9</v>
      </c>
      <c r="B8" s="1" t="e">
        <f>VLOOKUP(A8,'Round 5'!$AI$3:$AK$18,2,0)</f>
        <v>#N/A</v>
      </c>
      <c r="C8" s="1" t="e">
        <f>VLOOKUP(A8,'Round 5'!$AI$3:$AK$18,3,0)</f>
        <v>#N/A</v>
      </c>
      <c r="D8" s="1">
        <f>AB7</f>
        <v>0</v>
      </c>
      <c r="E8" s="2"/>
      <c r="O8" s="2"/>
      <c r="AD8" t="s">
        <v>91</v>
      </c>
      <c r="AI8" t="str">
        <f>IF(F19=K21,F23,F19)</f>
        <v/>
      </c>
      <c r="AJ8" t="e">
        <f t="shared" si="4"/>
        <v>#N/A</v>
      </c>
      <c r="AK8" t="e">
        <f t="shared" si="5"/>
        <v>#N/A</v>
      </c>
    </row>
    <row r="9" spans="1:37" x14ac:dyDescent="0.3">
      <c r="O9" s="2"/>
      <c r="P9" s="1" t="str">
        <f>IF(AND(N5=0,N13=0),"",IF(N5&gt;N13,K5,K13))</f>
        <v/>
      </c>
      <c r="Q9" s="1" t="str">
        <f>IF(AND(N5=0,N13=0),"",IF(N5&gt;N13,L5,L13))</f>
        <v/>
      </c>
      <c r="R9" s="1" t="str">
        <f>IF(AND(N5=0,N13=0),"",IF(N5&gt;N13,M5,M13))</f>
        <v/>
      </c>
      <c r="S9" s="1">
        <f>AG12</f>
        <v>0</v>
      </c>
      <c r="T9" s="2"/>
      <c r="Y9" s="1">
        <f>A10</f>
        <v>4</v>
      </c>
      <c r="Z9" s="1" t="e">
        <f t="shared" ref="Z9:AA9" si="6">B10</f>
        <v>#N/A</v>
      </c>
      <c r="AA9" s="1" t="e">
        <f t="shared" si="6"/>
        <v>#N/A</v>
      </c>
      <c r="AB9" s="4"/>
      <c r="AD9" s="1" t="str">
        <f>IF(K5=P9,K13,K5)</f>
        <v/>
      </c>
      <c r="AE9" s="1" t="str">
        <f>IF(AND(N5=0,N13=0),"",IF(L5=Q9,L13,L5))</f>
        <v/>
      </c>
      <c r="AF9" s="1" t="str">
        <f>IF(AND(N5=0,N13=0),"",IF(M5=R9,M13,M5))</f>
        <v/>
      </c>
      <c r="AG9" s="4"/>
      <c r="AI9" t="str">
        <f>IF(F27=K29,F31,F27)</f>
        <v/>
      </c>
      <c r="AJ9" t="e">
        <f t="shared" si="4"/>
        <v>#N/A</v>
      </c>
      <c r="AK9" t="e">
        <f t="shared" si="5"/>
        <v>#N/A</v>
      </c>
    </row>
    <row r="10" spans="1:37" x14ac:dyDescent="0.3">
      <c r="A10" s="1">
        <v>4</v>
      </c>
      <c r="B10" s="1" t="e">
        <f>VLOOKUP(A10,'Round 5'!$AI$3:$AK$18,2,0)</f>
        <v>#N/A</v>
      </c>
      <c r="C10" s="1" t="e">
        <f>VLOOKUP(A10,'Round 5'!$AI$3:$AK$18,3,0)</f>
        <v>#N/A</v>
      </c>
      <c r="D10" s="1">
        <f>AB9</f>
        <v>0</v>
      </c>
      <c r="E10" s="2"/>
      <c r="O10" s="2"/>
      <c r="T10" s="2"/>
      <c r="Y10" s="1">
        <f>A12</f>
        <v>13</v>
      </c>
      <c r="Z10" s="1" t="e">
        <f t="shared" ref="Z10:AA10" si="7">B12</f>
        <v>#N/A</v>
      </c>
      <c r="AA10" s="1" t="e">
        <f t="shared" si="7"/>
        <v>#N/A</v>
      </c>
      <c r="AB10" s="4"/>
      <c r="AD10" s="1" t="str">
        <f>IF(K21=P25,K29,K21)</f>
        <v/>
      </c>
      <c r="AE10" s="1" t="str">
        <f>IF(AND(N21=0,N29=0),"",IF(L21=Q25,L29,L21))</f>
        <v/>
      </c>
      <c r="AF10" s="1" t="str">
        <f>IF(AND(N21=0,N29=0),"",IF(M21=R25,M29,M21))</f>
        <v/>
      </c>
      <c r="AG10" s="4"/>
    </row>
    <row r="11" spans="1:37" x14ac:dyDescent="0.3">
      <c r="A11" s="3"/>
      <c r="E11" s="2"/>
      <c r="F11" s="1" t="str">
        <f>IF(AND(D10=0,D12=0),"",IF(D10&gt;D12,A10,A12))</f>
        <v/>
      </c>
      <c r="G11" s="1" t="str">
        <f>IF(AND(D10=0,D12=0),"",IF(D10&gt;D12,B10,B12))</f>
        <v/>
      </c>
      <c r="H11" s="1" t="str">
        <f>IF(AND(D10=0,D12=0),"",IF(D10&gt;D12,C10,C12))</f>
        <v/>
      </c>
      <c r="I11" s="1">
        <f>AB30</f>
        <v>0</v>
      </c>
      <c r="J11" s="2"/>
      <c r="O11" s="2"/>
      <c r="T11" s="2"/>
      <c r="AD11" t="s">
        <v>89</v>
      </c>
      <c r="AI11">
        <f>IF(A2=F3,A4,A2)</f>
        <v>1</v>
      </c>
      <c r="AJ11" t="e">
        <f t="shared" si="4"/>
        <v>#N/A</v>
      </c>
      <c r="AK11" t="e">
        <f t="shared" si="5"/>
        <v>#N/A</v>
      </c>
    </row>
    <row r="12" spans="1:37" x14ac:dyDescent="0.3">
      <c r="A12" s="1">
        <v>13</v>
      </c>
      <c r="B12" s="1" t="e">
        <f>VLOOKUP(A12,'Round 5'!$AI$3:$AK$18,2,0)</f>
        <v>#N/A</v>
      </c>
      <c r="C12" s="1" t="e">
        <f>VLOOKUP(A12,'Round 5'!$AI$3:$AK$18,3,0)</f>
        <v>#N/A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 t="e">
        <f t="shared" ref="Z12:AA12" si="8">B14</f>
        <v>#N/A</v>
      </c>
      <c r="AA12" s="1" t="e">
        <f t="shared" si="8"/>
        <v>#N/A</v>
      </c>
      <c r="AB12" s="4"/>
      <c r="AD12" s="1" t="str">
        <f>P9</f>
        <v/>
      </c>
      <c r="AE12" s="1" t="str">
        <f>Q9</f>
        <v/>
      </c>
      <c r="AF12" s="1" t="str">
        <f>R9</f>
        <v/>
      </c>
      <c r="AG12" s="4"/>
      <c r="AI12">
        <f>IF(A6=F7,A8,A6)</f>
        <v>8</v>
      </c>
      <c r="AJ12" t="e">
        <f t="shared" si="4"/>
        <v>#N/A</v>
      </c>
      <c r="AK12" t="e">
        <f t="shared" si="5"/>
        <v>#N/A</v>
      </c>
    </row>
    <row r="13" spans="1:37" x14ac:dyDescent="0.3">
      <c r="J13" s="2"/>
      <c r="K13" s="1" t="str">
        <f>IF(AND(I11=0,I15=0),"",IF(I11&gt;I15,F11,F15))</f>
        <v/>
      </c>
      <c r="L13" s="1" t="str">
        <f>IF(AND(I11=0,I15=0),"",IF(I11&gt;I15,G11,G15))</f>
        <v/>
      </c>
      <c r="M13" s="1" t="str">
        <f>IF(AND(I11=0,I15=0),"",IF(I11&gt;I15,H11,H15))</f>
        <v/>
      </c>
      <c r="N13" s="1">
        <f>AG4</f>
        <v>0</v>
      </c>
      <c r="O13" s="2"/>
      <c r="T13" s="2"/>
      <c r="Y13" s="1">
        <f>A16</f>
        <v>12</v>
      </c>
      <c r="Z13" s="1" t="e">
        <f t="shared" ref="Z13:AA13" si="9">B16</f>
        <v>#N/A</v>
      </c>
      <c r="AA13" s="1" t="e">
        <f t="shared" si="9"/>
        <v>#N/A</v>
      </c>
      <c r="AB13" s="4"/>
      <c r="AD13" s="1" t="str">
        <f>P25</f>
        <v/>
      </c>
      <c r="AE13" s="1" t="str">
        <f>Q25</f>
        <v/>
      </c>
      <c r="AF13" s="1" t="str">
        <f>R25</f>
        <v/>
      </c>
      <c r="AG13" s="4"/>
      <c r="AI13">
        <f>IF(A10=F11,A12,A10)</f>
        <v>4</v>
      </c>
      <c r="AJ13" t="e">
        <f t="shared" si="4"/>
        <v>#N/A</v>
      </c>
      <c r="AK13" t="e">
        <f t="shared" si="5"/>
        <v>#N/A</v>
      </c>
    </row>
    <row r="14" spans="1:37" x14ac:dyDescent="0.3">
      <c r="A14" s="1">
        <v>5</v>
      </c>
      <c r="B14" s="1" t="e">
        <f>VLOOKUP(A14,'Round 5'!$AI$3:$AK$18,2,0)</f>
        <v>#N/A</v>
      </c>
      <c r="C14" s="1" t="e">
        <f>VLOOKUP(A14,'Round 5'!$AI$3:$AK$18,3,0)</f>
        <v>#N/A</v>
      </c>
      <c r="D14" s="1">
        <f>AB12</f>
        <v>0</v>
      </c>
      <c r="E14" s="2"/>
      <c r="J14" s="2"/>
      <c r="T14" s="2"/>
      <c r="AI14">
        <f>IF(A14=F15,A16,A14)</f>
        <v>5</v>
      </c>
      <c r="AJ14" t="e">
        <f t="shared" si="4"/>
        <v>#N/A</v>
      </c>
      <c r="AK14" t="e">
        <f t="shared" si="5"/>
        <v>#N/A</v>
      </c>
    </row>
    <row r="15" spans="1:37" x14ac:dyDescent="0.3">
      <c r="A15" s="3"/>
      <c r="E15" s="2"/>
      <c r="F15" s="1" t="str">
        <f>IF(AND(D14=0,D16=0),"",IF(D14&gt;D16,A14,A16))</f>
        <v/>
      </c>
      <c r="G15" s="1" t="str">
        <f>IF(AND(D14=0,D16=0),"",IF(D14&gt;D16,B14,B16))</f>
        <v/>
      </c>
      <c r="H15" s="1" t="str">
        <f>IF(AND(D14=0,D16=0),"",IF(D14&gt;D16,C14,C16))</f>
        <v/>
      </c>
      <c r="I15" s="1">
        <f>AB31</f>
        <v>0</v>
      </c>
      <c r="J15" s="2"/>
      <c r="T15" s="2"/>
      <c r="Y15" s="1">
        <f>A18</f>
        <v>2</v>
      </c>
      <c r="Z15" s="1" t="e">
        <f t="shared" ref="Z15:AA15" si="10">B18</f>
        <v>#N/A</v>
      </c>
      <c r="AA15" s="1" t="e">
        <f t="shared" si="10"/>
        <v>#N/A</v>
      </c>
      <c r="AB15" s="4"/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2</v>
      </c>
      <c r="AJ15" t="e">
        <f t="shared" si="4"/>
        <v>#N/A</v>
      </c>
      <c r="AK15" t="e">
        <f t="shared" si="5"/>
        <v>#N/A</v>
      </c>
    </row>
    <row r="16" spans="1:37" x14ac:dyDescent="0.3">
      <c r="A16" s="1">
        <v>12</v>
      </c>
      <c r="B16" s="1" t="e">
        <f>VLOOKUP(A16,'Round 5'!$AI$3:$AK$18,2,0)</f>
        <v>#N/A</v>
      </c>
      <c r="C16" s="1" t="e">
        <f>VLOOKUP(A16,'Round 5'!$AI$3:$AK$18,3,0)</f>
        <v>#N/A</v>
      </c>
      <c r="D16" s="1">
        <f>AB13</f>
        <v>0</v>
      </c>
      <c r="E16" s="2"/>
      <c r="T16" s="2"/>
      <c r="Y16" s="1">
        <f>A20</f>
        <v>15</v>
      </c>
      <c r="Z16" s="1" t="e">
        <f t="shared" ref="Z16:AA16" si="11">B20</f>
        <v>#N/A</v>
      </c>
      <c r="AA16" s="1" t="e">
        <f t="shared" si="11"/>
        <v>#N/A</v>
      </c>
      <c r="AB16" s="4"/>
      <c r="AD16">
        <v>1</v>
      </c>
      <c r="AE16" t="str">
        <f>V17</f>
        <v/>
      </c>
      <c r="AF16" t="str">
        <f>W17</f>
        <v/>
      </c>
      <c r="AG16">
        <v>50</v>
      </c>
      <c r="AI16">
        <f>IF(A22=F23,A24,A22)</f>
        <v>7</v>
      </c>
      <c r="AJ16" t="e">
        <f t="shared" si="4"/>
        <v>#N/A</v>
      </c>
      <c r="AK16" t="e">
        <f t="shared" si="5"/>
        <v>#N/A</v>
      </c>
    </row>
    <row r="17" spans="1:37" x14ac:dyDescent="0.3">
      <c r="T17" s="2"/>
      <c r="U17" s="5" t="str">
        <f>IF(AND(S9=0,S25=0),"",IF(S9&gt;S25,P9,P25))</f>
        <v/>
      </c>
      <c r="V17" s="5" t="str">
        <f>IF(AND(S9=0,S25=0),"",IF(S9&gt;S25,Q9,Q25))</f>
        <v/>
      </c>
      <c r="W17" s="5" t="str">
        <f>IF(AND(S9=0,S25=0),"",IF(S9&gt;S25,R9,R25))</f>
        <v/>
      </c>
      <c r="AD17">
        <v>2</v>
      </c>
      <c r="AE17" t="str">
        <f>IF(V17="","",IF(Q9=V17,Q25,Q9))</f>
        <v/>
      </c>
      <c r="AF17" t="str">
        <f>IF(W17="","",IF(R9=W17,R25,R9))</f>
        <v/>
      </c>
      <c r="AG17">
        <v>40</v>
      </c>
      <c r="AI17">
        <f>IF(A26=F27,A28,A26)</f>
        <v>3</v>
      </c>
      <c r="AJ17" t="e">
        <f t="shared" si="4"/>
        <v>#N/A</v>
      </c>
      <c r="AK17" t="e">
        <f t="shared" si="5"/>
        <v>#N/A</v>
      </c>
    </row>
    <row r="18" spans="1:37" x14ac:dyDescent="0.3">
      <c r="A18" s="1">
        <v>2</v>
      </c>
      <c r="B18" s="1" t="e">
        <f>VLOOKUP(A18,'Round 5'!$AI$3:$AK$18,2,0)</f>
        <v>#N/A</v>
      </c>
      <c r="C18" s="1" t="e">
        <f>VLOOKUP(A18,'Round 5'!$AI$3:$AK$18,3,0)</f>
        <v>#N/A</v>
      </c>
      <c r="D18" s="1">
        <f>AB15</f>
        <v>0</v>
      </c>
      <c r="E18" s="2"/>
      <c r="T18" s="2"/>
      <c r="Y18" s="1">
        <f>A22</f>
        <v>7</v>
      </c>
      <c r="Z18" s="1" t="e">
        <f t="shared" ref="Z18:AA18" si="12">B22</f>
        <v>#N/A</v>
      </c>
      <c r="AA18" s="1" t="e">
        <f t="shared" si="12"/>
        <v>#N/A</v>
      </c>
      <c r="AB18" s="4"/>
      <c r="AD18">
        <v>3</v>
      </c>
      <c r="AE18" t="str">
        <f>IF(AG9&gt;AG10,AE9,IF(AG10&gt;AG9,AE10,IF(AD9&lt;AD10,AE9,AE10)))</f>
        <v/>
      </c>
      <c r="AF18" t="str">
        <f>IF(AG9&gt;AG10,AF9,IF(AG10&gt;AG9,AF10,IF(AD9&lt;AD10,AF9,AF10)))</f>
        <v/>
      </c>
      <c r="AG18">
        <v>30</v>
      </c>
      <c r="AI18">
        <f>IF(A30=F31,A32,A30)</f>
        <v>6</v>
      </c>
      <c r="AJ18" t="e">
        <f t="shared" si="4"/>
        <v>#N/A</v>
      </c>
      <c r="AK18" t="e">
        <f t="shared" si="5"/>
        <v>#N/A</v>
      </c>
    </row>
    <row r="19" spans="1:37" x14ac:dyDescent="0.3">
      <c r="A19" s="3"/>
      <c r="E19" s="2"/>
      <c r="F19" s="1" t="str">
        <f>IF(AND(D18=0,D20=0),"",IF(D18&gt;D20,A18,A20))</f>
        <v/>
      </c>
      <c r="G19" s="1" t="str">
        <f>IF(AND(D18=0,D20=0),"",IF(D18&gt;D20,B18,B20))</f>
        <v/>
      </c>
      <c r="H19" s="1" t="str">
        <f>IF(AND(D18=0,D20=0),"",IF(D18&gt;D20,C18,C20))</f>
        <v/>
      </c>
      <c r="I19" s="1">
        <f>AB33</f>
        <v>0</v>
      </c>
      <c r="J19" s="2"/>
      <c r="T19" s="2"/>
      <c r="Y19" s="1">
        <f>A24</f>
        <v>10</v>
      </c>
      <c r="Z19" s="1" t="e">
        <f t="shared" ref="Z19:AA19" si="13">B24</f>
        <v>#N/A</v>
      </c>
      <c r="AA19" s="1" t="e">
        <f t="shared" si="13"/>
        <v>#N/A</v>
      </c>
      <c r="AB19" s="4"/>
      <c r="AD19">
        <v>4</v>
      </c>
      <c r="AE19" t="str">
        <f>IF(AG9&gt;AG10,AE10,IF(AG10&gt;AG9,AE9,IF(AD9&lt;AD10,AE10,AE9)))</f>
        <v/>
      </c>
      <c r="AF19" t="str">
        <f>IF(AG9&gt;AG10,AF10,IF(AG10&gt;AG9,AF9,IF(AD9&lt;AD10,AF10,AF9)))</f>
        <v/>
      </c>
      <c r="AG19">
        <v>25</v>
      </c>
    </row>
    <row r="20" spans="1:37" x14ac:dyDescent="0.3">
      <c r="A20" s="1">
        <v>15</v>
      </c>
      <c r="B20" s="1" t="e">
        <f>VLOOKUP(A20,'Round 5'!$AI$3:$AK$18,2,0)</f>
        <v>#N/A</v>
      </c>
      <c r="C20" s="1" t="e">
        <f>VLOOKUP(A20,'Round 5'!$AI$3:$AK$18,3,0)</f>
        <v>#N/A</v>
      </c>
      <c r="D20" s="1">
        <f>AB16</f>
        <v>0</v>
      </c>
      <c r="E20" s="2"/>
      <c r="J20" s="2"/>
      <c r="T20" s="2"/>
      <c r="AD20">
        <v>5</v>
      </c>
      <c r="AE20" t="str">
        <f>IF(OR($L$5="",$L$13="",$L$21="",$L$29=""),"",VLOOKUP(SMALL($AI$6:$AI$9,1),$AI$6:$AK$9,2,0))</f>
        <v/>
      </c>
      <c r="AF20" t="str">
        <f>IF(OR($L$5="",$L$13="",$L$21="",$L$29=""),"",VLOOKUP(SMALL($AI$6:$AI$9,1),$AI$6:$AK$9,3,0))</f>
        <v/>
      </c>
      <c r="AG20">
        <v>20</v>
      </c>
    </row>
    <row r="21" spans="1:37" x14ac:dyDescent="0.3">
      <c r="J21" s="2"/>
      <c r="K21" s="1" t="str">
        <f>IF(AND(I19=0,I23=0),"",IF(I19&gt;I23,F19,F23))</f>
        <v/>
      </c>
      <c r="L21" s="1" t="str">
        <f>IF(AND(I19=0,I23=0),"",IF(I19&gt;I23,G19,G23))</f>
        <v/>
      </c>
      <c r="M21" s="1" t="str">
        <f>IF(AND(I19=0,I23=0),"",IF(I19&gt;I23,H19,H23))</f>
        <v/>
      </c>
      <c r="N21" s="1">
        <f>AG6</f>
        <v>0</v>
      </c>
      <c r="O21" s="2"/>
      <c r="T21" s="2"/>
      <c r="Y21" s="1">
        <f>A26</f>
        <v>3</v>
      </c>
      <c r="Z21" s="1" t="e">
        <f t="shared" ref="Z21:AA21" si="14">B26</f>
        <v>#N/A</v>
      </c>
      <c r="AA21" s="1" t="e">
        <f t="shared" si="14"/>
        <v>#N/A</v>
      </c>
      <c r="AB21" s="4"/>
      <c r="AD21">
        <v>6</v>
      </c>
      <c r="AE21" t="str">
        <f>IF(OR($L$5="",$L$13="",$L$21="",$L$29=""),"",VLOOKUP(SMALL($AI$6:$AI$9,2),$AI$6:$AK$9,2,0))</f>
        <v/>
      </c>
      <c r="AF21" t="str">
        <f>IF(OR($L$5="",$L$13="",$L$21="",$L$29=""),"",VLOOKUP(SMALL($AI$6:$AI$9,2),$AI$6:$AK$9,3,0))</f>
        <v/>
      </c>
      <c r="AG21">
        <v>20</v>
      </c>
    </row>
    <row r="22" spans="1:37" x14ac:dyDescent="0.3">
      <c r="A22" s="1">
        <v>7</v>
      </c>
      <c r="B22" s="1" t="e">
        <f>VLOOKUP(A22,'Round 5'!$AI$3:$AK$18,2,0)</f>
        <v>#N/A</v>
      </c>
      <c r="C22" s="1" t="e">
        <f>VLOOKUP(A22,'Round 5'!$AI$3:$AK$18,3,0)</f>
        <v>#N/A</v>
      </c>
      <c r="D22" s="1">
        <f>AB18</f>
        <v>0</v>
      </c>
      <c r="E22" s="2"/>
      <c r="J22" s="2"/>
      <c r="O22" s="2"/>
      <c r="T22" s="2"/>
      <c r="Y22" s="1">
        <f>A28</f>
        <v>14</v>
      </c>
      <c r="Z22" s="1" t="e">
        <f t="shared" ref="Z22:AA22" si="15">B28</f>
        <v>#N/A</v>
      </c>
      <c r="AA22" s="1" t="e">
        <f t="shared" si="15"/>
        <v>#N/A</v>
      </c>
      <c r="AB22" s="4"/>
      <c r="AD22">
        <v>7</v>
      </c>
      <c r="AE22" t="str">
        <f>IF(OR($L$5="",$L$13="",$L$21="",$L$29=""),"",VLOOKUP(SMALL($AI$6:$AI$9,3),$AI$6:$AK$9,2,0))</f>
        <v/>
      </c>
      <c r="AF22" t="str">
        <f>IF(OR($L$5="",$L$13="",$L$21="",$L$29=""),"",VLOOKUP(SMALL($AI$6:$AI$9,3),$AI$6:$AK$9,3,0))</f>
        <v/>
      </c>
      <c r="AG22">
        <v>20</v>
      </c>
    </row>
    <row r="23" spans="1:37" x14ac:dyDescent="0.3">
      <c r="A23" s="3"/>
      <c r="E23" s="2"/>
      <c r="F23" s="1" t="str">
        <f>IF(AND(D22=0,D24=0),"",IF(D22&gt;D24,A22,A24))</f>
        <v/>
      </c>
      <c r="G23" s="1" t="str">
        <f>IF(AND(D22=0,D24=0),"",IF(D22&gt;D24,B22,B24))</f>
        <v/>
      </c>
      <c r="H23" s="1" t="str">
        <f>IF(AND(D22=0,D24=0),"",IF(D22&gt;D24,C22,C24))</f>
        <v/>
      </c>
      <c r="I23" s="1">
        <f>AB34</f>
        <v>0</v>
      </c>
      <c r="J23" s="2"/>
      <c r="O23" s="2"/>
      <c r="T23" s="2"/>
      <c r="AD23">
        <v>8</v>
      </c>
      <c r="AE23" t="str">
        <f>IF(OR($L$5="",$L$13="",$L$21="",$L$29=""),"",VLOOKUP(SMALL($AI$6:$AI$9,4),$AI$6:$AK$9,2,0))</f>
        <v/>
      </c>
      <c r="AF23" t="str">
        <f>IF(OR($L$5="",$L$13="",$L$21="",$L$29=""),"",VLOOKUP(SMALL($AI$6:$AI$9,4),$AI$6:$AK$9,3,0))</f>
        <v/>
      </c>
      <c r="AG23">
        <v>20</v>
      </c>
    </row>
    <row r="24" spans="1:37" x14ac:dyDescent="0.3">
      <c r="A24" s="1">
        <v>10</v>
      </c>
      <c r="B24" s="1" t="e">
        <f>VLOOKUP(A24,'Round 5'!$AI$3:$AK$18,2,0)</f>
        <v>#N/A</v>
      </c>
      <c r="C24" s="1" t="e">
        <f>VLOOKUP(A24,'Round 5'!$AI$3:$AK$18,3,0)</f>
        <v>#N/A</v>
      </c>
      <c r="D24" s="1">
        <f>AB19</f>
        <v>0</v>
      </c>
      <c r="E24" s="2"/>
      <c r="O24" s="2"/>
      <c r="T24" s="2"/>
      <c r="Y24" s="1">
        <f>A30</f>
        <v>6</v>
      </c>
      <c r="Z24" s="1" t="e">
        <f t="shared" ref="Z24:AA24" si="16">B30</f>
        <v>#N/A</v>
      </c>
      <c r="AA24" s="1" t="e">
        <f t="shared" si="16"/>
        <v>#N/A</v>
      </c>
      <c r="AB24" s="4"/>
      <c r="AD24">
        <v>9</v>
      </c>
      <c r="AE24" t="str">
        <f>IF(OR($G$3="",$G$7="",$G$11="",$G$15="",$G$19="",$G$23="",$G$27="",$G$31=""),"",VLOOKUP(SMALL($AI$11:$AI$18,1),$AI$11:$AK$18,2,0))</f>
        <v/>
      </c>
      <c r="AF24" t="str">
        <f>IF(OR($G$3="",$G$7="",$G$11="",$G$15="",$G$19="",$G$23="",$G$27="",$G$31=""),"",VLOOKUP(SMALL($AI$11:$AI$18,1),$AI$11:$AK$18,3,0))</f>
        <v/>
      </c>
      <c r="AG24">
        <v>10</v>
      </c>
    </row>
    <row r="25" spans="1:37" x14ac:dyDescent="0.3">
      <c r="O25" s="2"/>
      <c r="P25" s="1" t="str">
        <f>IF(AND(N21=0,N29=0),"",IF(N21&gt;N29,K21,K29))</f>
        <v/>
      </c>
      <c r="Q25" s="1" t="str">
        <f>IF(AND(N21=0,N29=0),"",IF(N21&gt;N29,L21,L29))</f>
        <v/>
      </c>
      <c r="R25" s="1" t="str">
        <f>IF(AND(N21=0,N29=0),"",IF(N21&gt;N29,M21,M29))</f>
        <v/>
      </c>
      <c r="S25" s="1">
        <f>AG13</f>
        <v>0</v>
      </c>
      <c r="T25" s="2"/>
      <c r="Y25" s="1">
        <f>A32</f>
        <v>11</v>
      </c>
      <c r="Z25" s="1" t="e">
        <f t="shared" ref="Z25:AA25" si="17">B32</f>
        <v>#N/A</v>
      </c>
      <c r="AA25" s="1" t="e">
        <f t="shared" si="17"/>
        <v>#N/A</v>
      </c>
      <c r="AB25" s="4"/>
      <c r="AD25">
        <v>10</v>
      </c>
      <c r="AE25" t="str">
        <f>IF(OR($G$3="",$G$7="",$G$11="",$G$15="",$G$19="",$G$23="",$G$27="",$G$31=""),"",VLOOKUP(SMALL($AI$11:$AI$18,2),$AI$11:$AK$18,2,0))</f>
        <v/>
      </c>
      <c r="AF25" t="str">
        <f>IF(OR($G$3="",$G$7="",$G$11="",$G$15="",$G$19="",$G$23="",$G$27="",$G$31=""),"",VLOOKUP(SMALL($AI$11:$AI$18,2),$AI$11:$AK$18,3,0))</f>
        <v/>
      </c>
      <c r="AG25">
        <v>10</v>
      </c>
    </row>
    <row r="26" spans="1:37" x14ac:dyDescent="0.3">
      <c r="A26" s="1">
        <v>3</v>
      </c>
      <c r="B26" s="1" t="e">
        <f>VLOOKUP(A26,'Round 5'!$AI$3:$AK$18,2,0)</f>
        <v>#N/A</v>
      </c>
      <c r="C26" s="1" t="e">
        <f>VLOOKUP(A26,'Round 5'!$AI$3:$AK$18,3,0)</f>
        <v>#N/A</v>
      </c>
      <c r="D26" s="1">
        <f>AB21</f>
        <v>0</v>
      </c>
      <c r="E26" s="2"/>
      <c r="O26" s="2"/>
      <c r="Y26" s="2"/>
      <c r="Z26" s="2"/>
      <c r="AA26" s="2"/>
      <c r="AB26" s="2"/>
      <c r="AD26">
        <v>11</v>
      </c>
      <c r="AE26" t="str">
        <f>IF(OR($G$3="",$G$7="",$G$11="",$G$15="",$G$19="",$G$23="",$G$27="",$G$31=""),"",VLOOKUP(SMALL($AI$11:$AI$18,3),$AI$11:$AK$18,2,0))</f>
        <v/>
      </c>
      <c r="AF26" t="str">
        <f>IF(OR($G$3="",$G$7="",$G$11="",$G$15="",$G$19="",$G$23="",$G$27="",$G$31=""),"",VLOOKUP(SMALL($AI$11:$AI$18,3),$AI$11:$AK$18,3,0))</f>
        <v/>
      </c>
      <c r="AG26">
        <v>10</v>
      </c>
    </row>
    <row r="27" spans="1:37" x14ac:dyDescent="0.3">
      <c r="A27" s="3"/>
      <c r="E27" s="2"/>
      <c r="F27" s="1" t="str">
        <f>IF(AND(D26=0,D28=0),"",IF(D26&gt;D28,A26,A28))</f>
        <v/>
      </c>
      <c r="G27" s="1" t="str">
        <f>IF(AND(D26=0,D28=0),"",IF(D26&gt;D28,B26,B28))</f>
        <v/>
      </c>
      <c r="H27" s="1" t="str">
        <f>IF(AND(D26=0,D28=0),"",IF(D26&gt;D28,C26,C28))</f>
        <v/>
      </c>
      <c r="I27" s="1">
        <f>AB36</f>
        <v>0</v>
      </c>
      <c r="J27" s="2"/>
      <c r="O27" s="2"/>
      <c r="Y27" s="1" t="str">
        <f>F3</f>
        <v/>
      </c>
      <c r="Z27" s="1" t="str">
        <f t="shared" ref="Z27:AA27" si="18">G3</f>
        <v/>
      </c>
      <c r="AA27" s="1" t="str">
        <f t="shared" si="18"/>
        <v/>
      </c>
      <c r="AB27" s="4"/>
      <c r="AD27">
        <v>12</v>
      </c>
      <c r="AE27" t="str">
        <f>IF(OR($G$3="",$G$7="",$G$11="",$G$15="",$G$19="",$G$23="",$G$27="",$G$31=""),"",VLOOKUP(SMALL($AI$11:$AI$18,4),$AI$11:$AK$18,2,0))</f>
        <v/>
      </c>
      <c r="AF27" t="str">
        <f>IF(OR($G$3="",$G$7="",$G$11="",$G$15="",$G$19="",$G$23="",$G$27="",$G$31=""),"",VLOOKUP(SMALL($AI$11:$AI$18,4),$AI$11:$AK$18,3,0))</f>
        <v/>
      </c>
      <c r="AG27">
        <v>10</v>
      </c>
    </row>
    <row r="28" spans="1:37" x14ac:dyDescent="0.3">
      <c r="A28" s="1">
        <v>14</v>
      </c>
      <c r="B28" s="1" t="e">
        <f>VLOOKUP(A28,'Round 5'!$AI$3:$AK$18,2,0)</f>
        <v>#N/A</v>
      </c>
      <c r="C28" s="1" t="e">
        <f>VLOOKUP(A28,'Round 5'!$AI$3:$AK$18,3,0)</f>
        <v>#N/A</v>
      </c>
      <c r="D28" s="1">
        <f>AB22</f>
        <v>0</v>
      </c>
      <c r="E28" s="2"/>
      <c r="J28" s="2"/>
      <c r="O28" s="2"/>
      <c r="Y28" s="1" t="str">
        <f>F7</f>
        <v/>
      </c>
      <c r="Z28" s="1" t="str">
        <f t="shared" ref="Z28:AA28" si="19">G7</f>
        <v/>
      </c>
      <c r="AA28" s="1" t="str">
        <f t="shared" si="19"/>
        <v/>
      </c>
      <c r="AB28" s="4"/>
      <c r="AD28">
        <v>13</v>
      </c>
      <c r="AE28" t="str">
        <f>IF(OR($G$3="",$G$7="",$G$11="",$G$15="",$G$19="",$G$23="",$G$27="",$G$31=""),"",VLOOKUP(SMALL($AI$11:$AI$18,5),$AI$11:$AK$18,2,0))</f>
        <v/>
      </c>
      <c r="AF28" t="str">
        <f>IF(OR($G$3="",$G$7="",$G$11="",$G$15="",$G$19="",$G$23="",$G$27="",$G$31=""),"",VLOOKUP(SMALL($AI$11:$AI$18,5),$AI$11:$AK$18,3,0))</f>
        <v/>
      </c>
      <c r="AG28">
        <v>10</v>
      </c>
    </row>
    <row r="29" spans="1:37" x14ac:dyDescent="0.3">
      <c r="J29" s="2"/>
      <c r="K29" s="1" t="str">
        <f>IF(AND(I27=0,I31=0),"",IF(I27&gt;I31,F27,F31))</f>
        <v/>
      </c>
      <c r="L29" s="1" t="str">
        <f>IF(AND(I27=0,I31=0),"",IF(I27&gt;I31,G27,G31))</f>
        <v/>
      </c>
      <c r="M29" s="1" t="str">
        <f>IF(AND(I27=0,I31=0),"",IF(I27&gt;I31,H27,H31))</f>
        <v/>
      </c>
      <c r="N29" s="1">
        <f>AG7</f>
        <v>0</v>
      </c>
      <c r="O29" s="2"/>
      <c r="AD29">
        <v>14</v>
      </c>
      <c r="AE29" t="str">
        <f>IF(OR($G$3="",$G$7="",$G$11="",$G$15="",$G$19="",$G$23="",$G$27="",$G$31=""),"",VLOOKUP(SMALL($AI$11:$AI$18,6),$AI$11:$AK$18,2,0))</f>
        <v/>
      </c>
      <c r="AF29" t="str">
        <f>IF(OR($G$3="",$G$7="",$G$11="",$G$15="",$G$19="",$G$23="",$G$27="",$G$31=""),"",VLOOKUP(SMALL($AI$11:$AI$18,6),$AI$11:$AK$18,3,0))</f>
        <v/>
      </c>
      <c r="AG29">
        <v>10</v>
      </c>
    </row>
    <row r="30" spans="1:37" x14ac:dyDescent="0.3">
      <c r="A30" s="1">
        <v>6</v>
      </c>
      <c r="B30" s="1" t="e">
        <f>VLOOKUP(A30,'Round 5'!$AI$3:$AK$18,2,0)</f>
        <v>#N/A</v>
      </c>
      <c r="C30" s="1" t="e">
        <f>VLOOKUP(A30,'Round 5'!$AI$3:$AK$18,3,0)</f>
        <v>#N/A</v>
      </c>
      <c r="D30" s="1">
        <f>AB24</f>
        <v>0</v>
      </c>
      <c r="E30" s="2"/>
      <c r="J30" s="2"/>
      <c r="Y30" s="1" t="str">
        <f>F11</f>
        <v/>
      </c>
      <c r="Z30" s="1" t="str">
        <f t="shared" ref="Z30:AA30" si="20">G11</f>
        <v/>
      </c>
      <c r="AA30" s="1" t="str">
        <f t="shared" si="20"/>
        <v/>
      </c>
      <c r="AB30" s="4"/>
      <c r="AD30">
        <v>15</v>
      </c>
      <c r="AE30" t="str">
        <f>IF(OR($G$3="",$G$7="",$G$11="",$G$15="",$G$19="",$G$23="",$G$27="",$G$31=""),"",VLOOKUP(SMALL($AI$11:$AI$18,7),$AI$11:$AK$18,2,0))</f>
        <v/>
      </c>
      <c r="AF30" t="str">
        <f>IF(OR($G$3="",$G$7="",$G$11="",$G$15="",$G$19="",$G$23="",$G$27="",$G$31=""),"",VLOOKUP(SMALL($AI$11:$AI$18,7),$AI$11:$AK$18,3,0))</f>
        <v/>
      </c>
      <c r="AG30">
        <v>10</v>
      </c>
    </row>
    <row r="31" spans="1:37" x14ac:dyDescent="0.3">
      <c r="A31" s="3"/>
      <c r="E31" s="2"/>
      <c r="F31" s="1" t="str">
        <f>IF(AND(D30=0,D32=0),"",IF(D30&gt;D32,A30,A32))</f>
        <v/>
      </c>
      <c r="G31" s="1" t="str">
        <f>IF(AND(D30=0,D32=0),"",IF(D30&gt;D32,B30,B32))</f>
        <v/>
      </c>
      <c r="H31" s="1" t="str">
        <f>IF(AND(D30=0,D32=0),"",IF(D30&gt;D32,C30,C32))</f>
        <v/>
      </c>
      <c r="I31" s="1">
        <f>AB37</f>
        <v>0</v>
      </c>
      <c r="J31" s="2"/>
      <c r="P31" s="1" t="str">
        <f>AD9</f>
        <v/>
      </c>
      <c r="Q31" s="1" t="str">
        <f>AE9</f>
        <v/>
      </c>
      <c r="R31" s="1" t="str">
        <f>AF9</f>
        <v/>
      </c>
      <c r="S31" s="1">
        <f>AG9</f>
        <v>0</v>
      </c>
      <c r="T31" s="2"/>
      <c r="Y31" s="1" t="str">
        <f>F15</f>
        <v/>
      </c>
      <c r="Z31" s="1" t="str">
        <f t="shared" ref="Z31:AA31" si="21">G15</f>
        <v/>
      </c>
      <c r="AA31" s="1" t="str">
        <f t="shared" si="21"/>
        <v/>
      </c>
      <c r="AB31" s="4"/>
      <c r="AD31">
        <v>16</v>
      </c>
      <c r="AE31" t="str">
        <f>IF(OR($G$3="",$G$7="",$G$11="",$G$15="",$G$19="",$G$23="",$G$27="",$G$31=""),"",VLOOKUP(SMALL($AI$11:$AI$18,8),$AI$11:$AK$18,2,0))</f>
        <v/>
      </c>
      <c r="AF31" t="str">
        <f>IF(OR($G$3="",$G$7="",$G$11="",$G$15="",$G$19="",$G$23="",$G$27="",$G$31=""),"",VLOOKUP(SMALL($AI$11:$AI$18,8),$AI$11:$AK$18,3,0))</f>
        <v/>
      </c>
      <c r="AG31">
        <v>10</v>
      </c>
    </row>
    <row r="32" spans="1:37" x14ac:dyDescent="0.3">
      <c r="A32" s="1">
        <v>11</v>
      </c>
      <c r="B32" s="1" t="e">
        <f>VLOOKUP(A32,'Round 5'!$AI$3:$AK$18,2,0)</f>
        <v>#N/A</v>
      </c>
      <c r="C32" s="1" t="e">
        <f>VLOOKUP(A32,'Round 5'!$AI$3:$AK$18,3,0)</f>
        <v>#N/A</v>
      </c>
      <c r="D32" s="1">
        <f>AB25</f>
        <v>0</v>
      </c>
      <c r="E32" s="2"/>
      <c r="T32" s="2"/>
      <c r="U32" s="1"/>
      <c r="V32" s="1" t="str">
        <f>AE18</f>
        <v/>
      </c>
      <c r="W32" s="1" t="str">
        <f>AF18</f>
        <v/>
      </c>
      <c r="AD32">
        <v>17</v>
      </c>
      <c r="AE32" t="e">
        <f>VLOOKUP(Table59131721[[#This Row],[Final]],'Round 5'!$X$19:$AG$27,3,0)</f>
        <v>#N/A</v>
      </c>
      <c r="AF32" t="e">
        <f>VLOOKUP(Table59131721[[#This Row],[Final]],'Round 5'!$X$19:$AG$27,4,0)</f>
        <v>#N/A</v>
      </c>
      <c r="AG32" t="e">
        <f>VLOOKUP(Table59131721[[#This Row],[Final]],'Round 5'!$X$19:$AG$27,10,0)</f>
        <v>#N/A</v>
      </c>
    </row>
    <row r="33" spans="16:33" x14ac:dyDescent="0.3">
      <c r="P33" s="1" t="str">
        <f>AD10</f>
        <v/>
      </c>
      <c r="Q33" s="1" t="str">
        <f>AE10</f>
        <v/>
      </c>
      <c r="R33" s="1" t="str">
        <f>AF10</f>
        <v/>
      </c>
      <c r="S33" s="1">
        <f>AG10</f>
        <v>0</v>
      </c>
      <c r="T33" s="2"/>
      <c r="Y33" s="1" t="str">
        <f>F19</f>
        <v/>
      </c>
      <c r="Z33" s="1" t="str">
        <f>G19</f>
        <v/>
      </c>
      <c r="AA33" s="1" t="str">
        <f>H19</f>
        <v/>
      </c>
      <c r="AB33" s="4"/>
      <c r="AD33">
        <v>18</v>
      </c>
      <c r="AE33" t="e">
        <f>VLOOKUP(Table59131721[[#This Row],[Final]],'Round 5'!$X$19:$AG$27,3,0)</f>
        <v>#N/A</v>
      </c>
      <c r="AF33" t="e">
        <f>VLOOKUP(Table59131721[[#This Row],[Final]],'Round 5'!$X$19:$AG$27,4,0)</f>
        <v>#N/A</v>
      </c>
      <c r="AG33" t="e">
        <f>VLOOKUP(Table59131721[[#This Row],[Final]],'Round 5'!$X$19:$AG$27,10,0)</f>
        <v>#N/A</v>
      </c>
    </row>
    <row r="34" spans="16:33" x14ac:dyDescent="0.3">
      <c r="Y34" s="1" t="str">
        <f>F23</f>
        <v/>
      </c>
      <c r="Z34" s="1" t="str">
        <f>G23</f>
        <v/>
      </c>
      <c r="AA34" s="1" t="str">
        <f>H23</f>
        <v/>
      </c>
      <c r="AB34" s="4"/>
      <c r="AD34">
        <v>19</v>
      </c>
      <c r="AE34" t="e">
        <f>VLOOKUP(Table59131721[[#This Row],[Final]],'Round 5'!$X$19:$AG$27,3,0)</f>
        <v>#N/A</v>
      </c>
      <c r="AF34" t="e">
        <f>VLOOKUP(Table59131721[[#This Row],[Final]],'Round 5'!$X$19:$AG$27,4,0)</f>
        <v>#N/A</v>
      </c>
      <c r="AG34" t="e">
        <f>VLOOKUP(Table59131721[[#This Row],[Final]],'Round 5'!$X$19:$AG$27,10,0)</f>
        <v>#N/A</v>
      </c>
    </row>
    <row r="35" spans="16:33" x14ac:dyDescent="0.3">
      <c r="AD35">
        <v>20</v>
      </c>
      <c r="AE35" t="e">
        <f>VLOOKUP(Table59131721[[#This Row],[Final]],'Round 5'!$X$19:$AG$27,3,0)</f>
        <v>#N/A</v>
      </c>
      <c r="AF35" t="e">
        <f>VLOOKUP(Table59131721[[#This Row],[Final]],'Round 5'!$X$19:$AG$27,4,0)</f>
        <v>#N/A</v>
      </c>
      <c r="AG35" t="e">
        <f>VLOOKUP(Table59131721[[#This Row],[Final]],'Round 5'!$X$19:$AG$27,10,0)</f>
        <v>#N/A</v>
      </c>
    </row>
    <row r="36" spans="16:33" x14ac:dyDescent="0.3">
      <c r="Y36" s="1" t="str">
        <f>F27</f>
        <v/>
      </c>
      <c r="Z36" s="1" t="str">
        <f>G27</f>
        <v/>
      </c>
      <c r="AA36" s="1" t="str">
        <f>H27</f>
        <v/>
      </c>
      <c r="AB36" s="4"/>
      <c r="AD36">
        <v>21</v>
      </c>
      <c r="AE36" t="e">
        <f>VLOOKUP(Table59131721[[#This Row],[Final]],'Round 5'!$X$19:$AG$27,3,0)</f>
        <v>#N/A</v>
      </c>
      <c r="AF36" t="e">
        <f>VLOOKUP(Table59131721[[#This Row],[Final]],'Round 5'!$X$19:$AG$27,4,0)</f>
        <v>#N/A</v>
      </c>
      <c r="AG36" t="e">
        <f>VLOOKUP(Table59131721[[#This Row],[Final]],'Round 5'!$X$19:$AG$27,10,0)</f>
        <v>#N/A</v>
      </c>
    </row>
    <row r="37" spans="16:33" x14ac:dyDescent="0.3">
      <c r="Y37" s="1" t="str">
        <f>F31</f>
        <v/>
      </c>
      <c r="Z37" s="1" t="str">
        <f>G31</f>
        <v/>
      </c>
      <c r="AA37" s="1" t="str">
        <f>H31</f>
        <v/>
      </c>
      <c r="AB37" s="4"/>
      <c r="AD37">
        <v>22</v>
      </c>
      <c r="AE37" t="e">
        <f>VLOOKUP(Table59131721[[#This Row],[Final]],'Round 5'!$X$19:$AG$27,3,0)</f>
        <v>#N/A</v>
      </c>
      <c r="AF37" t="e">
        <f>VLOOKUP(Table59131721[[#This Row],[Final]],'Round 5'!$X$19:$AG$27,4,0)</f>
        <v>#N/A</v>
      </c>
      <c r="AG37" t="e">
        <f>VLOOKUP(Table59131721[[#This Row],[Final]],'Round 5'!$X$19:$AG$27,10,0)</f>
        <v>#N/A</v>
      </c>
    </row>
    <row r="38" spans="16:33" x14ac:dyDescent="0.3">
      <c r="AD38">
        <v>23</v>
      </c>
      <c r="AE38" t="e">
        <f>VLOOKUP(Table59131721[[#This Row],[Final]],'Round 5'!$X$19:$AG$27,3,0)</f>
        <v>#N/A</v>
      </c>
      <c r="AF38" t="e">
        <f>VLOOKUP(Table59131721[[#This Row],[Final]],'Round 5'!$X$19:$AG$27,4,0)</f>
        <v>#N/A</v>
      </c>
      <c r="AG38" t="e">
        <f>VLOOKUP(Table59131721[[#This Row],[Final]],'Round 5'!$X$19:$AG$27,10,0)</f>
        <v>#N/A</v>
      </c>
    </row>
    <row r="39" spans="16:33" x14ac:dyDescent="0.3">
      <c r="AD39">
        <v>24</v>
      </c>
      <c r="AE39" t="e">
        <f>VLOOKUP(Table59131721[[#This Row],[Final]],'Round 5'!$X$19:$AG$27,3,0)</f>
        <v>#N/A</v>
      </c>
      <c r="AF39" t="e">
        <f>VLOOKUP(Table59131721[[#This Row],[Final]],'Round 5'!$X$19:$AG$27,4,0)</f>
        <v>#N/A</v>
      </c>
      <c r="AG39" t="e">
        <f>VLOOKUP(Table59131721[[#This Row],[Final]],'Round 5'!$X$19:$AG$27,10,0)</f>
        <v>#N/A</v>
      </c>
    </row>
    <row r="40" spans="16:33" x14ac:dyDescent="0.3">
      <c r="AD40">
        <v>25</v>
      </c>
      <c r="AE40" t="e">
        <f>VLOOKUP(Table59131721[[#This Row],[Final]],'Round 5'!$X$19:$AG$27,3,0)</f>
        <v>#N/A</v>
      </c>
      <c r="AF40" t="e">
        <f>VLOOKUP(Table59131721[[#This Row],[Final]],'Round 5'!$X$19:$AG$27,4,0)</f>
        <v>#N/A</v>
      </c>
      <c r="AG40" t="e">
        <f>VLOOKUP(Table59131721[[#This Row],[Final]],'Round 5'!$X$19:$AG$27,10,0)</f>
        <v>#N/A</v>
      </c>
    </row>
  </sheetData>
  <sheetProtection sheet="1" objects="1" scenarios="1"/>
  <conditionalFormatting sqref="A2:D2">
    <cfRule type="expression" dxfId="695" priority="132">
      <formula>$D2&gt;$D4</formula>
    </cfRule>
    <cfRule type="expression" dxfId="694" priority="130">
      <formula>$D2&lt;$D4</formula>
    </cfRule>
    <cfRule type="expression" dxfId="693" priority="129">
      <formula>AND($D2=$D4,$A2&lt;$A4)</formula>
    </cfRule>
  </conditionalFormatting>
  <conditionalFormatting sqref="A4:D4">
    <cfRule type="expression" dxfId="692" priority="128">
      <formula>$D4&lt;$D2</formula>
    </cfRule>
    <cfRule type="expression" dxfId="691" priority="131">
      <formula>$D4&gt;$D2</formula>
    </cfRule>
    <cfRule type="expression" dxfId="690" priority="127">
      <formula>AND($D4=$D2,$A4&lt;$A2)</formula>
    </cfRule>
  </conditionalFormatting>
  <conditionalFormatting sqref="A6:D6 A10:D10 A14:D14 A18:D18 A22:D22 A26:D26 A30:D30">
    <cfRule type="expression" dxfId="689" priority="101">
      <formula>$D6&lt;$D8</formula>
    </cfRule>
    <cfRule type="expression" dxfId="688" priority="100">
      <formula>AND($D6=$D8,$A6&lt;$A8)</formula>
    </cfRule>
    <cfRule type="expression" dxfId="687" priority="102">
      <formula>$D6&gt;$D8</formula>
    </cfRule>
  </conditionalFormatting>
  <conditionalFormatting sqref="A8:D8 A12:D12 A16:D16 A20:D20 A24:D24 A28:D28 A32:D32">
    <cfRule type="expression" dxfId="686" priority="99">
      <formula>$D8&gt;$D6</formula>
    </cfRule>
    <cfRule type="expression" dxfId="685" priority="97">
      <formula>AND($D8=$D6,$A8&lt;$A6)</formula>
    </cfRule>
    <cfRule type="expression" dxfId="684" priority="98">
      <formula>$D8&lt;$D6</formula>
    </cfRule>
  </conditionalFormatting>
  <conditionalFormatting sqref="F3:I3">
    <cfRule type="expression" dxfId="683" priority="126">
      <formula>$I3&gt;$I7</formula>
    </cfRule>
    <cfRule type="expression" dxfId="682" priority="125">
      <formula>$I3&lt;$I7</formula>
    </cfRule>
    <cfRule type="expression" dxfId="681" priority="124">
      <formula>AND($I3=$I7,$F3&lt;$F7)</formula>
    </cfRule>
  </conditionalFormatting>
  <conditionalFormatting sqref="F7:I7">
    <cfRule type="expression" dxfId="680" priority="120">
      <formula>$I7&gt;$I3</formula>
    </cfRule>
    <cfRule type="expression" dxfId="679" priority="119">
      <formula>$I7&lt;$I3</formula>
    </cfRule>
    <cfRule type="expression" dxfId="678" priority="118">
      <formula>AND($I7=$I3,$F7&lt;$F3)</formula>
    </cfRule>
  </conditionalFormatting>
  <conditionalFormatting sqref="F11:I11 F19:I19 F27:I27">
    <cfRule type="expression" dxfId="677" priority="121">
      <formula>AND($I11=$I15,$F11&lt;$F15)</formula>
    </cfRule>
    <cfRule type="expression" dxfId="676" priority="123">
      <formula>$I11&gt;$I15</formula>
    </cfRule>
    <cfRule type="expression" dxfId="675" priority="122">
      <formula>$I11&lt;$I15</formula>
    </cfRule>
  </conditionalFormatting>
  <conditionalFormatting sqref="F15:I15 F23:I23 F31:I31">
    <cfRule type="expression" dxfId="674" priority="116">
      <formula>$I15&lt;$I11</formula>
    </cfRule>
    <cfRule type="expression" dxfId="673" priority="117">
      <formula>$I15&gt;$I11</formula>
    </cfRule>
    <cfRule type="expression" dxfId="672" priority="115">
      <formula>AND($I15=$I11,$F15&lt;$F11)</formula>
    </cfRule>
  </conditionalFormatting>
  <conditionalFormatting sqref="K5:N5">
    <cfRule type="expression" dxfId="671" priority="114">
      <formula>$N5&gt;$N13</formula>
    </cfRule>
    <cfRule type="expression" dxfId="670" priority="113">
      <formula>$N5&lt;$N13</formula>
    </cfRule>
    <cfRule type="expression" dxfId="669" priority="112">
      <formula>AND($N5=$N13,$K5&lt;$K13)</formula>
    </cfRule>
  </conditionalFormatting>
  <conditionalFormatting sqref="K13:N13">
    <cfRule type="expression" dxfId="668" priority="106">
      <formula>AND($N13=$N5,$K13&lt;$K5)</formula>
    </cfRule>
    <cfRule type="expression" dxfId="667" priority="108">
      <formula>$N13&gt;$N5</formula>
    </cfRule>
    <cfRule type="expression" dxfId="666" priority="107">
      <formula>$N13&lt;$N5</formula>
    </cfRule>
  </conditionalFormatting>
  <conditionalFormatting sqref="K21:N21">
    <cfRule type="expression" dxfId="665" priority="109">
      <formula>AND($N21=$N29,$K21&lt;$K29)</formula>
    </cfRule>
    <cfRule type="expression" dxfId="664" priority="111">
      <formula>$N21&gt;$N29</formula>
    </cfRule>
    <cfRule type="expression" dxfId="663" priority="110">
      <formula>$N21&lt;$N29</formula>
    </cfRule>
  </conditionalFormatting>
  <conditionalFormatting sqref="K29:N29">
    <cfRule type="expression" dxfId="662" priority="105">
      <formula>$N29&gt;$N21</formula>
    </cfRule>
    <cfRule type="expression" dxfId="661" priority="103">
      <formula>AND($N29=$N21,$K29&lt;$K21)</formula>
    </cfRule>
    <cfRule type="expression" dxfId="660" priority="104">
      <formula>$N29&lt;$N21</formula>
    </cfRule>
  </conditionalFormatting>
  <conditionalFormatting sqref="P9:S9">
    <cfRule type="expression" dxfId="659" priority="96">
      <formula>$S9&gt;$S25</formula>
    </cfRule>
    <cfRule type="expression" dxfId="658" priority="95">
      <formula>$S9&lt;$S25</formula>
    </cfRule>
    <cfRule type="expression" dxfId="657" priority="94">
      <formula>AND($S9=$S25,$P9&lt;$P25)</formula>
    </cfRule>
  </conditionalFormatting>
  <conditionalFormatting sqref="P25:S25">
    <cfRule type="expression" dxfId="656" priority="93">
      <formula>$S25&gt;$S9</formula>
    </cfRule>
    <cfRule type="expression" dxfId="655" priority="92">
      <formula>$S25&lt;$S9</formula>
    </cfRule>
    <cfRule type="expression" dxfId="654" priority="91">
      <formula>AND($S25=$S9,$P25&lt;$P9)</formula>
    </cfRule>
  </conditionalFormatting>
  <conditionalFormatting sqref="Y3:AB3">
    <cfRule type="expression" dxfId="653" priority="90">
      <formula>AND($AB3=$AB4,$Y3&lt;$Y4)</formula>
    </cfRule>
    <cfRule type="expression" dxfId="652" priority="89">
      <formula>$AB3&gt;$AB4</formula>
    </cfRule>
    <cfRule type="expression" dxfId="651" priority="88">
      <formula>$AB3&lt;$AB4</formula>
    </cfRule>
  </conditionalFormatting>
  <conditionalFormatting sqref="Y4:AB4">
    <cfRule type="expression" dxfId="650" priority="87">
      <formula>AND($AB4=$AB3,$Y4&lt;$Y3)</formula>
    </cfRule>
    <cfRule type="expression" dxfId="649" priority="86">
      <formula>$AB4&gt;$AB3</formula>
    </cfRule>
    <cfRule type="expression" dxfId="648" priority="85">
      <formula>$AB4&lt;$AB3</formula>
    </cfRule>
  </conditionalFormatting>
  <conditionalFormatting sqref="Y6:AB6">
    <cfRule type="expression" dxfId="647" priority="83">
      <formula>$AB6&gt;$AB7</formula>
    </cfRule>
    <cfRule type="expression" dxfId="646" priority="84">
      <formula>AND($AB6=$AB7,$Y6&lt;$Y7)</formula>
    </cfRule>
    <cfRule type="expression" dxfId="645" priority="82">
      <formula>$AB6&lt;$AB7</formula>
    </cfRule>
  </conditionalFormatting>
  <conditionalFormatting sqref="Y7:AB7">
    <cfRule type="expression" dxfId="644" priority="81">
      <formula>AND($AB7=$AB6,$Y7&lt;$Y6)</formula>
    </cfRule>
    <cfRule type="expression" dxfId="643" priority="80">
      <formula>$AB7&gt;$AB6</formula>
    </cfRule>
    <cfRule type="expression" dxfId="642" priority="79">
      <formula>$AB7&lt;$AB6</formula>
    </cfRule>
  </conditionalFormatting>
  <conditionalFormatting sqref="Y9:AB9">
    <cfRule type="expression" dxfId="641" priority="78">
      <formula>AND($AB9=$AB10,$Y9&lt;$Y10)</formula>
    </cfRule>
    <cfRule type="expression" dxfId="640" priority="77">
      <formula>$AB9&gt;$AB10</formula>
    </cfRule>
    <cfRule type="expression" dxfId="639" priority="76">
      <formula>$AB9&lt;$AB10</formula>
    </cfRule>
  </conditionalFormatting>
  <conditionalFormatting sqref="Y10:AB10">
    <cfRule type="expression" dxfId="638" priority="75">
      <formula>AND($AB10=$AB9,$Y10&lt;$Y9)</formula>
    </cfRule>
    <cfRule type="expression" dxfId="637" priority="74">
      <formula>$AB10&gt;$AB9</formula>
    </cfRule>
    <cfRule type="expression" dxfId="636" priority="73">
      <formula>$AB10&lt;$AB9</formula>
    </cfRule>
  </conditionalFormatting>
  <conditionalFormatting sqref="Y12:AB12">
    <cfRule type="expression" dxfId="635" priority="72">
      <formula>AND($AB12=$AB13,$Y12&lt;$Y13)</formula>
    </cfRule>
    <cfRule type="expression" dxfId="634" priority="70">
      <formula>$AB12&lt;$AB13</formula>
    </cfRule>
    <cfRule type="expression" dxfId="633" priority="71">
      <formula>$AB12&gt;$AB13</formula>
    </cfRule>
  </conditionalFormatting>
  <conditionalFormatting sqref="Y13:AB13">
    <cfRule type="expression" dxfId="632" priority="67">
      <formula>$AB13&lt;$AB12</formula>
    </cfRule>
    <cfRule type="expression" dxfId="631" priority="68">
      <formula>$AB13&gt;$AB12</formula>
    </cfRule>
    <cfRule type="expression" dxfId="630" priority="69">
      <formula>AND($AB13=$AB12,$Y13&lt;$Y12)</formula>
    </cfRule>
  </conditionalFormatting>
  <conditionalFormatting sqref="Y15:AB15">
    <cfRule type="expression" dxfId="629" priority="66">
      <formula>AND($AB15=$AB16,$Y15&lt;$Y16)</formula>
    </cfRule>
    <cfRule type="expression" dxfId="628" priority="65">
      <formula>$AB15&gt;$AB16</formula>
    </cfRule>
    <cfRule type="expression" dxfId="627" priority="64">
      <formula>$AB15&lt;$AB16</formula>
    </cfRule>
  </conditionalFormatting>
  <conditionalFormatting sqref="Y16:AB16">
    <cfRule type="expression" dxfId="626" priority="61">
      <formula>$AB16&lt;$AB15</formula>
    </cfRule>
    <cfRule type="expression" dxfId="625" priority="63">
      <formula>AND($AB16=$AB15,$Y16&lt;$Y15)</formula>
    </cfRule>
    <cfRule type="expression" dxfId="624" priority="62">
      <formula>$AB16&gt;$AB15</formula>
    </cfRule>
  </conditionalFormatting>
  <conditionalFormatting sqref="Y18:AB18">
    <cfRule type="expression" dxfId="623" priority="60">
      <formula>AND($AB18=$AB19,$Y18&lt;$Y19)</formula>
    </cfRule>
    <cfRule type="expression" dxfId="622" priority="59">
      <formula>$AB18&gt;$AB19</formula>
    </cfRule>
    <cfRule type="expression" dxfId="621" priority="58">
      <formula>$AB18&lt;$AB19</formula>
    </cfRule>
  </conditionalFormatting>
  <conditionalFormatting sqref="Y19:AB19">
    <cfRule type="expression" dxfId="620" priority="57">
      <formula>AND($AB19=$AB18,$Y19&lt;$Y18)</formula>
    </cfRule>
    <cfRule type="expression" dxfId="619" priority="56">
      <formula>$AB19&gt;$AB18</formula>
    </cfRule>
    <cfRule type="expression" dxfId="618" priority="55">
      <formula>$AB19&lt;$AB18</formula>
    </cfRule>
  </conditionalFormatting>
  <conditionalFormatting sqref="Y21:AB21">
    <cfRule type="expression" dxfId="617" priority="54">
      <formula>AND($AB21=$AB22,$Y21&lt;$Y22)</formula>
    </cfRule>
    <cfRule type="expression" dxfId="616" priority="53">
      <formula>$AB21&gt;$AB22</formula>
    </cfRule>
    <cfRule type="expression" dxfId="615" priority="52">
      <formula>$AB21&lt;$AB22</formula>
    </cfRule>
  </conditionalFormatting>
  <conditionalFormatting sqref="Y22:AB22">
    <cfRule type="expression" dxfId="614" priority="51">
      <formula>AND($AB22=$AB21,$Y22&lt;$Y21)</formula>
    </cfRule>
    <cfRule type="expression" dxfId="613" priority="50">
      <formula>$AB22&gt;$AB21</formula>
    </cfRule>
    <cfRule type="expression" dxfId="612" priority="49">
      <formula>$AB22&lt;$AB21</formula>
    </cfRule>
  </conditionalFormatting>
  <conditionalFormatting sqref="Y24:AB24">
    <cfRule type="expression" dxfId="611" priority="48">
      <formula>AND($AB24=$AB25,$Y24&lt;$Y25)</formula>
    </cfRule>
    <cfRule type="expression" dxfId="610" priority="47">
      <formula>$AB24&gt;$AB25</formula>
    </cfRule>
    <cfRule type="expression" dxfId="609" priority="46">
      <formula>$AB24&lt;$AB25</formula>
    </cfRule>
  </conditionalFormatting>
  <conditionalFormatting sqref="Y25:AB25">
    <cfRule type="expression" dxfId="608" priority="45">
      <formula>AND($AB25=$AB24,$Y25&lt;$Y24)</formula>
    </cfRule>
    <cfRule type="expression" dxfId="607" priority="44">
      <formula>$AB25&gt;$AB24</formula>
    </cfRule>
    <cfRule type="expression" dxfId="606" priority="43">
      <formula>$AB25&lt;$AB24</formula>
    </cfRule>
  </conditionalFormatting>
  <conditionalFormatting sqref="Y27:AB27">
    <cfRule type="expression" dxfId="605" priority="42">
      <formula>AND($AB27=$AB28,$Y27&lt;$Y28)</formula>
    </cfRule>
    <cfRule type="expression" dxfId="604" priority="41">
      <formula>$AB27&gt;$AB28</formula>
    </cfRule>
    <cfRule type="expression" dxfId="603" priority="40">
      <formula>$AB27&lt;$AB28</formula>
    </cfRule>
  </conditionalFormatting>
  <conditionalFormatting sqref="Y28:AB28">
    <cfRule type="expression" dxfId="602" priority="39">
      <formula>AND($AB28=$AB27,$Y28&lt;$Y27)</formula>
    </cfRule>
    <cfRule type="expression" dxfId="601" priority="38">
      <formula>$AB28&gt;$AB27</formula>
    </cfRule>
    <cfRule type="expression" dxfId="600" priority="37">
      <formula>$AB28&lt;$AB27</formula>
    </cfRule>
  </conditionalFormatting>
  <conditionalFormatting sqref="Y30:AB30">
    <cfRule type="expression" dxfId="599" priority="36">
      <formula>AND($AB30=$AB31,$Y30&lt;$Y31)</formula>
    </cfRule>
    <cfRule type="expression" dxfId="598" priority="35">
      <formula>$AB30&gt;$AB31</formula>
    </cfRule>
    <cfRule type="expression" dxfId="597" priority="34">
      <formula>$AB30&lt;$AB31</formula>
    </cfRule>
  </conditionalFormatting>
  <conditionalFormatting sqref="Y31:AB31">
    <cfRule type="expression" dxfId="596" priority="33">
      <formula>AND($AB31=$AB30,$Y31&lt;$Y30)</formula>
    </cfRule>
    <cfRule type="expression" dxfId="595" priority="32">
      <formula>$AB31&gt;$AB30</formula>
    </cfRule>
    <cfRule type="expression" dxfId="594" priority="31">
      <formula>$AB31&lt;$AB30</formula>
    </cfRule>
  </conditionalFormatting>
  <conditionalFormatting sqref="Y33:AB33">
    <cfRule type="expression" dxfId="593" priority="30">
      <formula>AND($AB33=$AB34,$Y33&lt;$Y34)</formula>
    </cfRule>
    <cfRule type="expression" dxfId="592" priority="29">
      <formula>$AB33&gt;$AB34</formula>
    </cfRule>
    <cfRule type="expression" dxfId="591" priority="28">
      <formula>$AB33&lt;$AB34</formula>
    </cfRule>
  </conditionalFormatting>
  <conditionalFormatting sqref="Y34:AB34">
    <cfRule type="expression" dxfId="590" priority="27">
      <formula>AND($AB34=$AB33,$Y34&lt;$Y33)</formula>
    </cfRule>
    <cfRule type="expression" dxfId="589" priority="26">
      <formula>$AB34&gt;$AB33</formula>
    </cfRule>
    <cfRule type="expression" dxfId="588" priority="25">
      <formula>$AB34&lt;$AB33</formula>
    </cfRule>
  </conditionalFormatting>
  <conditionalFormatting sqref="Y36:AB36">
    <cfRule type="expression" dxfId="587" priority="24">
      <formula>AND($AB36=$AB37,$Y36&lt;$Y37)</formula>
    </cfRule>
    <cfRule type="expression" dxfId="586" priority="23">
      <formula>$AB36&gt;$AB37</formula>
    </cfRule>
    <cfRule type="expression" dxfId="585" priority="22">
      <formula>$AB36&lt;$AB37</formula>
    </cfRule>
  </conditionalFormatting>
  <conditionalFormatting sqref="Y37:AB37">
    <cfRule type="expression" dxfId="584" priority="19">
      <formula>$AB37&lt;$AB36</formula>
    </cfRule>
    <cfRule type="expression" dxfId="583" priority="20">
      <formula>$AB37&gt;$AB36</formula>
    </cfRule>
    <cfRule type="expression" dxfId="582" priority="21">
      <formula>AND($AB37=$AB36,$Y37&lt;$Y36)</formula>
    </cfRule>
  </conditionalFormatting>
  <conditionalFormatting sqref="AD3:AG3 AD12:AG12">
    <cfRule type="expression" dxfId="581" priority="17">
      <formula>$AG3&gt;$AG4</formula>
    </cfRule>
    <cfRule type="expression" dxfId="580" priority="18">
      <formula>AND($AG3=$AG4,$AD3&lt;$AD4)</formula>
    </cfRule>
    <cfRule type="expression" dxfId="579" priority="16">
      <formula>$AG3&lt;$AG4</formula>
    </cfRule>
  </conditionalFormatting>
  <conditionalFormatting sqref="AD4:AG4 AD13:AG13">
    <cfRule type="expression" dxfId="578" priority="15">
      <formula>AND($AG4=$AG3,$AD4&lt;$AD3)</formula>
    </cfRule>
    <cfRule type="expression" dxfId="577" priority="14">
      <formula>$AG4&gt;$AG3</formula>
    </cfRule>
    <cfRule type="expression" dxfId="576" priority="13">
      <formula>$AG4&lt;$AG3</formula>
    </cfRule>
  </conditionalFormatting>
  <conditionalFormatting sqref="AD6:AG6">
    <cfRule type="expression" dxfId="575" priority="12">
      <formula>AND($AG6=$AG7,$AD6&lt;$AD7)</formula>
    </cfRule>
    <cfRule type="expression" dxfId="574" priority="11">
      <formula>$AG6&gt;$AG7</formula>
    </cfRule>
    <cfRule type="expression" dxfId="573" priority="10">
      <formula>$AG6&lt;$AG7</formula>
    </cfRule>
  </conditionalFormatting>
  <conditionalFormatting sqref="AD7:AG7">
    <cfRule type="expression" dxfId="572" priority="9">
      <formula>AND($AG7=$AG6,$AD7&lt;$AD6)</formula>
    </cfRule>
    <cfRule type="expression" dxfId="571" priority="8">
      <formula>$AG7&gt;$AG6</formula>
    </cfRule>
    <cfRule type="expression" dxfId="570" priority="7">
      <formula>$AG7&lt;$AG6</formula>
    </cfRule>
  </conditionalFormatting>
  <conditionalFormatting sqref="AD9:AG9">
    <cfRule type="expression" dxfId="569" priority="4">
      <formula>$AG9&lt;$AG10</formula>
    </cfRule>
    <cfRule type="expression" dxfId="568" priority="6">
      <formula>AND($AG9=$AG10,$AD9&lt;$AD10)</formula>
    </cfRule>
    <cfRule type="expression" dxfId="567" priority="5">
      <formula>$AG9&gt;$AG10</formula>
    </cfRule>
  </conditionalFormatting>
  <conditionalFormatting sqref="AD10:AG10">
    <cfRule type="expression" dxfId="566" priority="3">
      <formula>AND($AG10=$AG9,$AD10&lt;$AD9)</formula>
    </cfRule>
    <cfRule type="expression" dxfId="565" priority="1">
      <formula>$AG10&lt;$AG9</formula>
    </cfRule>
    <cfRule type="expression" dxfId="564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ED1E-A961-4045-9AEA-C8F24D7D2E12}">
  <sheetPr>
    <pageSetUpPr fitToPage="1"/>
  </sheetPr>
  <dimension ref="A1:W33"/>
  <sheetViews>
    <sheetView workbookViewId="0">
      <selection activeCell="V27" sqref="V27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5 Finals'!A1</f>
        <v>Q Pos</v>
      </c>
      <c r="B1" t="str">
        <f>'Round 5 Finals'!B1</f>
        <v>#</v>
      </c>
      <c r="C1" t="str">
        <f>'Round 5 Finals'!C1</f>
        <v>Name</v>
      </c>
      <c r="D1" t="str">
        <f>'Round 5 Finals'!D1</f>
        <v>Score</v>
      </c>
      <c r="F1" t="str">
        <f>'Round 5 Finals'!F1</f>
        <v>Q</v>
      </c>
      <c r="G1" t="str">
        <f>'Round 5 Finals'!G1</f>
        <v>#</v>
      </c>
      <c r="K1" t="str">
        <f>'Round 5 Finals'!K1</f>
        <v>Q</v>
      </c>
      <c r="L1" t="str">
        <f>'Round 5 Finals'!L1</f>
        <v>#</v>
      </c>
      <c r="P1" t="str">
        <f>'Round 5 Finals'!P1</f>
        <v>Q</v>
      </c>
      <c r="Q1" t="str">
        <f>'Round 5 Finals'!Q1</f>
        <v>#</v>
      </c>
      <c r="V1" t="str">
        <f>'Round 5 Finals'!V1</f>
        <v>#</v>
      </c>
    </row>
    <row r="2" spans="1:22" x14ac:dyDescent="0.3">
      <c r="A2" s="1">
        <f>'Round 5 Finals'!A2</f>
        <v>1</v>
      </c>
      <c r="B2" s="1" t="e">
        <f>'Round 5 Finals'!B2</f>
        <v>#N/A</v>
      </c>
      <c r="C2" s="1" t="e">
        <f>'Round 5 Finals'!C2</f>
        <v>#N/A</v>
      </c>
      <c r="D2" s="1">
        <f>'Round 5 Finals'!D2</f>
        <v>0</v>
      </c>
      <c r="E2" s="2"/>
    </row>
    <row r="3" spans="1:22" x14ac:dyDescent="0.3">
      <c r="A3" s="3"/>
      <c r="E3" s="2"/>
      <c r="F3" s="1" t="str">
        <f>'Round 5 Finals'!F3</f>
        <v/>
      </c>
      <c r="G3" s="1" t="str">
        <f>'Round 5 Finals'!G3</f>
        <v/>
      </c>
      <c r="H3" s="1" t="str">
        <f>'Round 5 Finals'!H3</f>
        <v/>
      </c>
      <c r="I3" s="1">
        <f>'Round 5 Finals'!I3</f>
        <v>0</v>
      </c>
      <c r="J3" s="2"/>
    </row>
    <row r="4" spans="1:22" x14ac:dyDescent="0.3">
      <c r="A4" s="1">
        <f>'Round 5 Finals'!A4</f>
        <v>16</v>
      </c>
      <c r="B4" s="1" t="e">
        <f>'Round 5 Finals'!B4</f>
        <v>#N/A</v>
      </c>
      <c r="C4" s="1" t="e">
        <f>'Round 5 Finals'!C4</f>
        <v>#N/A</v>
      </c>
      <c r="D4" s="1">
        <f>'Round 5 Finals'!D4</f>
        <v>0</v>
      </c>
      <c r="E4" s="2"/>
      <c r="J4" s="2"/>
    </row>
    <row r="5" spans="1:22" x14ac:dyDescent="0.3">
      <c r="J5" s="2"/>
      <c r="K5" s="1" t="str">
        <f>'Round 5 Finals'!K5</f>
        <v/>
      </c>
      <c r="L5" s="1" t="str">
        <f>'Round 5 Finals'!L5</f>
        <v/>
      </c>
      <c r="M5" s="1" t="str">
        <f>'Round 5 Finals'!M5</f>
        <v/>
      </c>
      <c r="N5" s="1">
        <f>'Round 5 Finals'!N5</f>
        <v>0</v>
      </c>
      <c r="O5" s="2"/>
    </row>
    <row r="6" spans="1:22" x14ac:dyDescent="0.3">
      <c r="A6" s="1">
        <f>'Round 5 Finals'!A6</f>
        <v>8</v>
      </c>
      <c r="B6" s="1" t="e">
        <f>'Round 5 Finals'!B6</f>
        <v>#N/A</v>
      </c>
      <c r="C6" s="1" t="e">
        <f>'Round 5 Finals'!C6</f>
        <v>#N/A</v>
      </c>
      <c r="D6" s="1">
        <f>'Round 5 Finals'!D6</f>
        <v>0</v>
      </c>
      <c r="E6" s="2"/>
      <c r="J6" s="2"/>
      <c r="O6" s="2"/>
    </row>
    <row r="7" spans="1:22" x14ac:dyDescent="0.3">
      <c r="A7" s="3"/>
      <c r="E7" s="2"/>
      <c r="F7" s="1" t="str">
        <f>'Round 5 Finals'!F7</f>
        <v/>
      </c>
      <c r="G7" s="1" t="str">
        <f>'Round 5 Finals'!G7</f>
        <v/>
      </c>
      <c r="H7" s="1" t="str">
        <f>'Round 5 Finals'!H7</f>
        <v/>
      </c>
      <c r="I7" s="1">
        <f>'Round 5 Finals'!I7</f>
        <v>0</v>
      </c>
      <c r="J7" s="2"/>
      <c r="O7" s="2"/>
    </row>
    <row r="8" spans="1:22" x14ac:dyDescent="0.3">
      <c r="A8" s="1">
        <f>'Round 5 Finals'!A8</f>
        <v>9</v>
      </c>
      <c r="B8" s="1" t="e">
        <f>'Round 5 Finals'!B8</f>
        <v>#N/A</v>
      </c>
      <c r="C8" s="1" t="e">
        <f>'Round 5 Finals'!C8</f>
        <v>#N/A</v>
      </c>
      <c r="D8" s="1">
        <f>'Round 5 Finals'!D8</f>
        <v>0</v>
      </c>
      <c r="E8" s="2"/>
      <c r="O8" s="2"/>
    </row>
    <row r="9" spans="1:22" x14ac:dyDescent="0.3">
      <c r="O9" s="2"/>
      <c r="P9" s="1" t="str">
        <f>'Round 5 Finals'!P9</f>
        <v/>
      </c>
      <c r="Q9" s="1" t="str">
        <f>'Round 5 Finals'!Q9</f>
        <v/>
      </c>
      <c r="R9" s="1" t="str">
        <f>'Round 5 Finals'!R9</f>
        <v/>
      </c>
      <c r="S9" s="1">
        <f>'Round 5 Finals'!S9</f>
        <v>0</v>
      </c>
      <c r="T9" s="2"/>
    </row>
    <row r="10" spans="1:22" x14ac:dyDescent="0.3">
      <c r="A10" s="1">
        <f>'Round 5 Finals'!A10</f>
        <v>4</v>
      </c>
      <c r="B10" s="1" t="e">
        <f>'Round 5 Finals'!B10</f>
        <v>#N/A</v>
      </c>
      <c r="C10" s="1" t="e">
        <f>'Round 5 Finals'!C10</f>
        <v>#N/A</v>
      </c>
      <c r="D10" s="1">
        <f>'Round 5 Finals'!D10</f>
        <v>0</v>
      </c>
      <c r="E10" s="2"/>
      <c r="O10" s="2"/>
      <c r="T10" s="2"/>
    </row>
    <row r="11" spans="1:22" x14ac:dyDescent="0.3">
      <c r="A11" s="3"/>
      <c r="E11" s="2"/>
      <c r="F11" s="1" t="str">
        <f>'Round 5 Finals'!F11</f>
        <v/>
      </c>
      <c r="G11" s="1" t="str">
        <f>'Round 5 Finals'!G11</f>
        <v/>
      </c>
      <c r="H11" s="1" t="str">
        <f>'Round 5 Finals'!H11</f>
        <v/>
      </c>
      <c r="I11" s="1">
        <f>'Round 5 Finals'!I11</f>
        <v>0</v>
      </c>
      <c r="J11" s="2"/>
      <c r="O11" s="2"/>
      <c r="T11" s="2"/>
    </row>
    <row r="12" spans="1:22" x14ac:dyDescent="0.3">
      <c r="A12" s="1">
        <f>'Round 5 Finals'!A12</f>
        <v>13</v>
      </c>
      <c r="B12" s="1" t="e">
        <f>'Round 5 Finals'!B12</f>
        <v>#N/A</v>
      </c>
      <c r="C12" s="1" t="e">
        <f>'Round 5 Finals'!C12</f>
        <v>#N/A</v>
      </c>
      <c r="D12" s="1">
        <f>'Round 5 Finals'!D12</f>
        <v>0</v>
      </c>
      <c r="E12" s="2"/>
      <c r="J12" s="2"/>
      <c r="O12" s="2"/>
      <c r="T12" s="2"/>
    </row>
    <row r="13" spans="1:22" x14ac:dyDescent="0.3">
      <c r="J13" s="2"/>
      <c r="K13" s="1" t="str">
        <f>'Round 5 Finals'!K13</f>
        <v/>
      </c>
      <c r="L13" s="1" t="str">
        <f>'Round 5 Finals'!L13</f>
        <v/>
      </c>
      <c r="M13" s="1" t="str">
        <f>'Round 5 Finals'!M13</f>
        <v/>
      </c>
      <c r="N13" s="1">
        <f>'Round 5 Finals'!N13</f>
        <v>0</v>
      </c>
      <c r="O13" s="2"/>
      <c r="T13" s="2"/>
    </row>
    <row r="14" spans="1:22" x14ac:dyDescent="0.3">
      <c r="A14" s="1">
        <f>'Round 5 Finals'!A14</f>
        <v>5</v>
      </c>
      <c r="B14" s="1" t="e">
        <f>'Round 5 Finals'!B14</f>
        <v>#N/A</v>
      </c>
      <c r="C14" s="1" t="e">
        <f>'Round 5 Finals'!C14</f>
        <v>#N/A</v>
      </c>
      <c r="D14" s="1">
        <f>'Round 5 Finals'!D14</f>
        <v>0</v>
      </c>
      <c r="E14" s="2"/>
      <c r="J14" s="2"/>
      <c r="T14" s="2"/>
    </row>
    <row r="15" spans="1:22" x14ac:dyDescent="0.3">
      <c r="A15" s="3"/>
      <c r="E15" s="2"/>
      <c r="F15" s="1" t="str">
        <f>'Round 5 Finals'!F15</f>
        <v/>
      </c>
      <c r="G15" s="1" t="str">
        <f>'Round 5 Finals'!G15</f>
        <v/>
      </c>
      <c r="H15" s="1" t="str">
        <f>'Round 5 Finals'!H15</f>
        <v/>
      </c>
      <c r="I15" s="1">
        <f>'Round 5 Finals'!I15</f>
        <v>0</v>
      </c>
      <c r="J15" s="2"/>
      <c r="T15" s="2"/>
    </row>
    <row r="16" spans="1:22" x14ac:dyDescent="0.3">
      <c r="A16" s="1">
        <f>'Round 5 Finals'!A16</f>
        <v>12</v>
      </c>
      <c r="B16" s="1" t="e">
        <f>'Round 5 Finals'!B16</f>
        <v>#N/A</v>
      </c>
      <c r="C16" s="1" t="e">
        <f>'Round 5 Finals'!C16</f>
        <v>#N/A</v>
      </c>
      <c r="D16" s="1">
        <f>'Round 5 Finals'!D16</f>
        <v>0</v>
      </c>
      <c r="E16" s="2"/>
      <c r="T16" s="2"/>
    </row>
    <row r="17" spans="1:23" x14ac:dyDescent="0.3">
      <c r="T17" s="2"/>
      <c r="U17" s="5" t="str">
        <f>'Round 5 Finals'!U17</f>
        <v/>
      </c>
      <c r="V17" s="5" t="str">
        <f>'Round 5 Finals'!V17</f>
        <v/>
      </c>
      <c r="W17" s="5" t="str">
        <f>'Round 5 Finals'!W17</f>
        <v/>
      </c>
    </row>
    <row r="18" spans="1:23" x14ac:dyDescent="0.3">
      <c r="A18" s="1">
        <f>'Round 5 Finals'!A18</f>
        <v>2</v>
      </c>
      <c r="B18" s="1" t="e">
        <f>'Round 5 Finals'!B18</f>
        <v>#N/A</v>
      </c>
      <c r="C18" s="1" t="e">
        <f>'Round 5 Finals'!C18</f>
        <v>#N/A</v>
      </c>
      <c r="D18" s="1">
        <f>'Round 5 Finals'!D18</f>
        <v>0</v>
      </c>
      <c r="E18" s="2"/>
      <c r="T18" s="2"/>
    </row>
    <row r="19" spans="1:23" x14ac:dyDescent="0.3">
      <c r="A19" s="3"/>
      <c r="E19" s="2"/>
      <c r="F19" s="1" t="str">
        <f>'Round 5 Finals'!F19</f>
        <v/>
      </c>
      <c r="G19" s="1" t="str">
        <f>'Round 5 Finals'!G19</f>
        <v/>
      </c>
      <c r="H19" s="1" t="str">
        <f>'Round 5 Finals'!H19</f>
        <v/>
      </c>
      <c r="I19" s="1">
        <f>'Round 5 Finals'!I19</f>
        <v>0</v>
      </c>
      <c r="J19" s="2"/>
      <c r="T19" s="2"/>
    </row>
    <row r="20" spans="1:23" x14ac:dyDescent="0.3">
      <c r="A20" s="1">
        <f>'Round 5 Finals'!A20</f>
        <v>15</v>
      </c>
      <c r="B20" s="1" t="e">
        <f>'Round 5 Finals'!B20</f>
        <v>#N/A</v>
      </c>
      <c r="C20" s="1" t="e">
        <f>'Round 5 Finals'!C20</f>
        <v>#N/A</v>
      </c>
      <c r="D20" s="1">
        <f>'Round 5 Finals'!D20</f>
        <v>0</v>
      </c>
      <c r="E20" s="2"/>
      <c r="J20" s="2"/>
      <c r="T20" s="2"/>
    </row>
    <row r="21" spans="1:23" x14ac:dyDescent="0.3">
      <c r="J21" s="2"/>
      <c r="K21" s="1" t="str">
        <f>'Round 5 Finals'!K21</f>
        <v/>
      </c>
      <c r="L21" s="1" t="str">
        <f>'Round 5 Finals'!L21</f>
        <v/>
      </c>
      <c r="M21" s="1" t="str">
        <f>'Round 5 Finals'!M21</f>
        <v/>
      </c>
      <c r="N21" s="1">
        <f>'Round 5 Finals'!N21</f>
        <v>0</v>
      </c>
      <c r="O21" s="2"/>
      <c r="T21" s="2"/>
    </row>
    <row r="22" spans="1:23" x14ac:dyDescent="0.3">
      <c r="A22" s="1">
        <f>'Round 5 Finals'!A22</f>
        <v>7</v>
      </c>
      <c r="B22" s="1" t="e">
        <f>'Round 5 Finals'!B22</f>
        <v>#N/A</v>
      </c>
      <c r="C22" s="1" t="e">
        <f>'Round 5 Finals'!C22</f>
        <v>#N/A</v>
      </c>
      <c r="D22" s="1">
        <f>'Round 5 Finals'!D22</f>
        <v>0</v>
      </c>
      <c r="E22" s="2"/>
      <c r="J22" s="2"/>
      <c r="O22" s="2"/>
      <c r="T22" s="2"/>
    </row>
    <row r="23" spans="1:23" x14ac:dyDescent="0.3">
      <c r="A23" s="3"/>
      <c r="E23" s="2"/>
      <c r="F23" s="1" t="str">
        <f>'Round 5 Finals'!F23</f>
        <v/>
      </c>
      <c r="G23" s="1" t="str">
        <f>'Round 5 Finals'!G23</f>
        <v/>
      </c>
      <c r="H23" s="1" t="str">
        <f>'Round 5 Finals'!H23</f>
        <v/>
      </c>
      <c r="I23" s="1">
        <f>'Round 5 Finals'!I23</f>
        <v>0</v>
      </c>
      <c r="J23" s="2"/>
      <c r="O23" s="2"/>
      <c r="T23" s="2"/>
    </row>
    <row r="24" spans="1:23" x14ac:dyDescent="0.3">
      <c r="A24" s="1">
        <f>'Round 5 Finals'!A24</f>
        <v>10</v>
      </c>
      <c r="B24" s="1" t="e">
        <f>'Round 5 Finals'!B24</f>
        <v>#N/A</v>
      </c>
      <c r="C24" s="1" t="e">
        <f>'Round 5 Finals'!C24</f>
        <v>#N/A</v>
      </c>
      <c r="D24" s="1">
        <f>'Round 5 Finals'!D24</f>
        <v>0</v>
      </c>
      <c r="E24" s="2"/>
      <c r="O24" s="2"/>
      <c r="T24" s="2"/>
    </row>
    <row r="25" spans="1:23" x14ac:dyDescent="0.3">
      <c r="O25" s="2"/>
      <c r="P25" s="1" t="str">
        <f>'Round 5 Finals'!P25</f>
        <v/>
      </c>
      <c r="Q25" s="1" t="str">
        <f>'Round 5 Finals'!Q25</f>
        <v/>
      </c>
      <c r="R25" s="1" t="str">
        <f>'Round 5 Finals'!R25</f>
        <v/>
      </c>
      <c r="S25" s="1">
        <f>'Round 5 Finals'!S25</f>
        <v>0</v>
      </c>
      <c r="T25" s="2"/>
    </row>
    <row r="26" spans="1:23" x14ac:dyDescent="0.3">
      <c r="A26" s="1">
        <f>'Round 5 Finals'!A26</f>
        <v>3</v>
      </c>
      <c r="B26" s="1" t="e">
        <f>'Round 5 Finals'!B26</f>
        <v>#N/A</v>
      </c>
      <c r="C26" s="1" t="e">
        <f>'Round 5 Finals'!C26</f>
        <v>#N/A</v>
      </c>
      <c r="D26" s="1">
        <f>'Round 5 Finals'!D26</f>
        <v>0</v>
      </c>
      <c r="E26" s="2"/>
      <c r="O26" s="2"/>
    </row>
    <row r="27" spans="1:23" x14ac:dyDescent="0.3">
      <c r="A27" s="3"/>
      <c r="E27" s="2"/>
      <c r="F27" s="1" t="str">
        <f>'Round 5 Finals'!F27</f>
        <v/>
      </c>
      <c r="G27" s="1" t="str">
        <f>'Round 5 Finals'!G27</f>
        <v/>
      </c>
      <c r="H27" s="1" t="str">
        <f>'Round 5 Finals'!H27</f>
        <v/>
      </c>
      <c r="I27" s="1">
        <f>'Round 5 Finals'!I27</f>
        <v>0</v>
      </c>
      <c r="J27" s="2"/>
      <c r="O27" s="2"/>
    </row>
    <row r="28" spans="1:23" x14ac:dyDescent="0.3">
      <c r="A28" s="1">
        <f>'Round 5 Finals'!A28</f>
        <v>14</v>
      </c>
      <c r="B28" s="1" t="e">
        <f>'Round 5 Finals'!B28</f>
        <v>#N/A</v>
      </c>
      <c r="C28" s="1" t="e">
        <f>'Round 5 Finals'!C28</f>
        <v>#N/A</v>
      </c>
      <c r="D28" s="1">
        <f>'Round 5 Finals'!D28</f>
        <v>0</v>
      </c>
      <c r="E28" s="2"/>
      <c r="J28" s="2"/>
      <c r="O28" s="2"/>
    </row>
    <row r="29" spans="1:23" x14ac:dyDescent="0.3">
      <c r="J29" s="2"/>
      <c r="K29" s="1" t="str">
        <f>'Round 5 Finals'!K29</f>
        <v/>
      </c>
      <c r="L29" s="1" t="str">
        <f>'Round 5 Finals'!L29</f>
        <v/>
      </c>
      <c r="M29" s="1" t="str">
        <f>'Round 5 Finals'!M29</f>
        <v/>
      </c>
      <c r="N29" s="1">
        <f>'Round 5 Finals'!N29</f>
        <v>0</v>
      </c>
      <c r="O29" s="2"/>
    </row>
    <row r="30" spans="1:23" x14ac:dyDescent="0.3">
      <c r="A30" s="1">
        <f>'Round 5 Finals'!A30</f>
        <v>6</v>
      </c>
      <c r="B30" s="1" t="e">
        <f>'Round 5 Finals'!B30</f>
        <v>#N/A</v>
      </c>
      <c r="C30" s="1" t="e">
        <f>'Round 5 Finals'!C30</f>
        <v>#N/A</v>
      </c>
      <c r="D30" s="1">
        <f>'Round 5 Finals'!D30</f>
        <v>0</v>
      </c>
      <c r="E30" s="2"/>
      <c r="J30" s="2"/>
    </row>
    <row r="31" spans="1:23" x14ac:dyDescent="0.3">
      <c r="A31" s="3"/>
      <c r="E31" s="2"/>
      <c r="F31" s="1" t="str">
        <f>'Round 5 Finals'!F31</f>
        <v/>
      </c>
      <c r="G31" s="1" t="str">
        <f>'Round 5 Finals'!G31</f>
        <v/>
      </c>
      <c r="H31" s="1" t="str">
        <f>'Round 5 Finals'!H31</f>
        <v/>
      </c>
      <c r="I31" s="1">
        <f>'Round 5 Finals'!I31</f>
        <v>0</v>
      </c>
      <c r="J31" s="2"/>
      <c r="P31" s="1" t="str">
        <f>'Round 5 Finals'!P31</f>
        <v/>
      </c>
      <c r="Q31" s="1" t="str">
        <f>'Round 5 Finals'!Q31</f>
        <v/>
      </c>
      <c r="R31" s="1" t="str">
        <f>'Round 5 Finals'!R31</f>
        <v/>
      </c>
      <c r="S31" s="1">
        <f>'Round 5 Finals'!S31</f>
        <v>0</v>
      </c>
      <c r="T31" s="2"/>
    </row>
    <row r="32" spans="1:23" x14ac:dyDescent="0.3">
      <c r="A32" s="1">
        <f>'Round 5 Finals'!A32</f>
        <v>11</v>
      </c>
      <c r="B32" s="1" t="e">
        <f>'Round 5 Finals'!B32</f>
        <v>#N/A</v>
      </c>
      <c r="C32" s="1" t="e">
        <f>'Round 5 Finals'!C32</f>
        <v>#N/A</v>
      </c>
      <c r="D32" s="1">
        <f>'Round 5 Finals'!D32</f>
        <v>0</v>
      </c>
      <c r="E32" s="2"/>
      <c r="T32" s="2"/>
      <c r="U32" s="1"/>
      <c r="V32" s="1" t="str">
        <f>'Round 5 Finals'!V32</f>
        <v/>
      </c>
      <c r="W32" s="1" t="str">
        <f>'Round 5 Finals'!W32</f>
        <v/>
      </c>
    </row>
    <row r="33" spans="16:20" x14ac:dyDescent="0.3">
      <c r="P33" s="1" t="str">
        <f>'Round 5 Finals'!P33</f>
        <v/>
      </c>
      <c r="Q33" s="1" t="str">
        <f>'Round 5 Finals'!Q33</f>
        <v/>
      </c>
      <c r="R33" s="1" t="str">
        <f>'Round 5 Finals'!R33</f>
        <v/>
      </c>
      <c r="S33" s="1">
        <f>'Round 5 Finals'!S33</f>
        <v>0</v>
      </c>
      <c r="T33" s="2"/>
    </row>
  </sheetData>
  <sheetProtection sheet="1" objects="1" scenarios="1"/>
  <conditionalFormatting sqref="A2:D2">
    <cfRule type="expression" dxfId="563" priority="39">
      <formula>AND($D2=$D4,$A2&lt;$A4)</formula>
    </cfRule>
    <cfRule type="expression" dxfId="562" priority="42">
      <formula>$D2&gt;$D4</formula>
    </cfRule>
    <cfRule type="expression" dxfId="561" priority="40">
      <formula>$D2&lt;$D4</formula>
    </cfRule>
  </conditionalFormatting>
  <conditionalFormatting sqref="A4:D4">
    <cfRule type="expression" dxfId="560" priority="38">
      <formula>$D4&lt;$D2</formula>
    </cfRule>
    <cfRule type="expression" dxfId="559" priority="37">
      <formula>AND($D4=$D2,$A4&lt;$A2)</formula>
    </cfRule>
    <cfRule type="expression" dxfId="558" priority="41">
      <formula>$D4&gt;$D2</formula>
    </cfRule>
  </conditionalFormatting>
  <conditionalFormatting sqref="A6:D6 A10:D10 A14:D14 A18:D18 A22:D22 A26:D26 A30:D30">
    <cfRule type="expression" dxfId="557" priority="11">
      <formula>$D6&lt;$D8</formula>
    </cfRule>
    <cfRule type="expression" dxfId="556" priority="10">
      <formula>AND($D6=$D8,$A6&lt;$A8)</formula>
    </cfRule>
    <cfRule type="expression" dxfId="555" priority="12">
      <formula>$D6&gt;$D8</formula>
    </cfRule>
  </conditionalFormatting>
  <conditionalFormatting sqref="A8:D8 A12:D12 A16:D16 A20:D20 A24:D24 A28:D28 A32:D32">
    <cfRule type="expression" dxfId="554" priority="7">
      <formula>AND($D8=$D6,$A8&lt;$A6)</formula>
    </cfRule>
    <cfRule type="expression" dxfId="553" priority="8">
      <formula>$D8&lt;$D6</formula>
    </cfRule>
    <cfRule type="expression" dxfId="552" priority="9">
      <formula>$D8&gt;$D6</formula>
    </cfRule>
  </conditionalFormatting>
  <conditionalFormatting sqref="F3:I3">
    <cfRule type="expression" dxfId="551" priority="36">
      <formula>$I3&gt;$I7</formula>
    </cfRule>
    <cfRule type="expression" dxfId="550" priority="35">
      <formula>$I3&lt;$I7</formula>
    </cfRule>
    <cfRule type="expression" dxfId="549" priority="34">
      <formula>AND($I3=$I7,$F3&lt;$F7)</formula>
    </cfRule>
  </conditionalFormatting>
  <conditionalFormatting sqref="F7:I7">
    <cfRule type="expression" dxfId="548" priority="30">
      <formula>$I7&gt;$I3</formula>
    </cfRule>
    <cfRule type="expression" dxfId="547" priority="29">
      <formula>$I7&lt;$I3</formula>
    </cfRule>
    <cfRule type="expression" dxfId="546" priority="28">
      <formula>AND($I7=$I3,$F7&lt;$F3)</formula>
    </cfRule>
  </conditionalFormatting>
  <conditionalFormatting sqref="F11:I11 F19:I19 F27:I27">
    <cfRule type="expression" dxfId="545" priority="33">
      <formula>$I11&gt;$I15</formula>
    </cfRule>
    <cfRule type="expression" dxfId="544" priority="31">
      <formula>AND($I11=$I15,$F11&lt;$F15)</formula>
    </cfRule>
    <cfRule type="expression" dxfId="543" priority="32">
      <formula>$I11&lt;$I15</formula>
    </cfRule>
  </conditionalFormatting>
  <conditionalFormatting sqref="F15:I15 F23:I23 F31:I31">
    <cfRule type="expression" dxfId="542" priority="27">
      <formula>$I15&gt;$I11</formula>
    </cfRule>
    <cfRule type="expression" dxfId="541" priority="26">
      <formula>$I15&lt;$I11</formula>
    </cfRule>
    <cfRule type="expression" dxfId="540" priority="25">
      <formula>AND($I15=$I11,$F15&lt;$F11)</formula>
    </cfRule>
  </conditionalFormatting>
  <conditionalFormatting sqref="K5:N5">
    <cfRule type="expression" dxfId="539" priority="22">
      <formula>AND($N5=$N13,$K5&lt;$K13)</formula>
    </cfRule>
    <cfRule type="expression" dxfId="538" priority="23">
      <formula>$N5&lt;$N13</formula>
    </cfRule>
    <cfRule type="expression" dxfId="537" priority="24">
      <formula>$N5&gt;$N13</formula>
    </cfRule>
  </conditionalFormatting>
  <conditionalFormatting sqref="K13:N13">
    <cfRule type="expression" dxfId="536" priority="18">
      <formula>$N13&gt;$N5</formula>
    </cfRule>
    <cfRule type="expression" dxfId="535" priority="16">
      <formula>AND($N13=$N5,$K13&lt;$K5)</formula>
    </cfRule>
    <cfRule type="expression" dxfId="534" priority="17">
      <formula>$N13&lt;$N5</formula>
    </cfRule>
  </conditionalFormatting>
  <conditionalFormatting sqref="K21:N21">
    <cfRule type="expression" dxfId="533" priority="19">
      <formula>AND($N21=$N29,$K21&lt;$K29)</formula>
    </cfRule>
    <cfRule type="expression" dxfId="532" priority="21">
      <formula>$N21&gt;$N29</formula>
    </cfRule>
    <cfRule type="expression" dxfId="531" priority="20">
      <formula>$N21&lt;$N29</formula>
    </cfRule>
  </conditionalFormatting>
  <conditionalFormatting sqref="K29:N29">
    <cfRule type="expression" dxfId="530" priority="15">
      <formula>$N29&gt;$N21</formula>
    </cfRule>
    <cfRule type="expression" dxfId="529" priority="14">
      <formula>$N29&lt;$N21</formula>
    </cfRule>
    <cfRule type="expression" dxfId="528" priority="13">
      <formula>AND($N29=$N21,$K29&lt;$K21)</formula>
    </cfRule>
  </conditionalFormatting>
  <conditionalFormatting sqref="P9:S9">
    <cfRule type="expression" dxfId="527" priority="5">
      <formula>$S9&lt;$S25</formula>
    </cfRule>
    <cfRule type="expression" dxfId="526" priority="4">
      <formula>AND($S9=$S25,$P9&lt;$P25)</formula>
    </cfRule>
    <cfRule type="expression" dxfId="525" priority="6">
      <formula>$S9&gt;$S25</formula>
    </cfRule>
  </conditionalFormatting>
  <conditionalFormatting sqref="P25:S25">
    <cfRule type="expression" dxfId="524" priority="1">
      <formula>AND($S25=$S9,$P25&lt;$P9)</formula>
    </cfRule>
    <cfRule type="expression" dxfId="523" priority="3">
      <formula>$S25&gt;$S9</formula>
    </cfRule>
    <cfRule type="expression" dxfId="522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E3B25-6845-4B2B-B8E6-538724C8ACB4}">
  <dimension ref="A1:AO27"/>
  <sheetViews>
    <sheetView workbookViewId="0">
      <selection activeCell="A19" sqref="A19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6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 t="e">
        <f>VLOOKUP('Round 6'!$A3,INDEX(Entry!$E$2:$U$23,1,'Round 6'!$A$1*2-1):'Entry'!$U$33,18-$A$1*2,0)</f>
        <v>#N/A</v>
      </c>
      <c r="C3" t="e">
        <f>VLOOKUP('Round 6'!$A3,INDEX(Entry!$E$2:$U$23,1,'Round 6'!$A$1*2-1):'Entry'!$U$33,19-$A$1*2,0)</f>
        <v>#N/A</v>
      </c>
      <c r="H3">
        <f>ROUND(IFERROR(AVERAGE(E3:G3),0),2)</f>
        <v>0</v>
      </c>
      <c r="L3">
        <f t="shared" ref="L3:L27" si="0">ROUND(IFERROR(AVERAGE(I3:K3),0),2)</f>
        <v>0</v>
      </c>
      <c r="M3">
        <f>MAX(H3:L3)</f>
        <v>0</v>
      </c>
      <c r="N3">
        <f>IF(H3=M3,L3,H3)</f>
        <v>0</v>
      </c>
      <c r="O3">
        <f>IFERROR(M3+N3/1000+((1000-B3)/1000000),0)</f>
        <v>0</v>
      </c>
      <c r="P3">
        <f>RANK(O3,$O$3:$O$27,0)</f>
        <v>1</v>
      </c>
      <c r="R3" t="e">
        <f>B3</f>
        <v>#N/A</v>
      </c>
      <c r="S3" t="e">
        <f>C3</f>
        <v>#N/A</v>
      </c>
      <c r="T3">
        <f>Table2711151923[[#This Row],[Max]]</f>
        <v>0</v>
      </c>
      <c r="U3">
        <f>Table2711151923[[#This Row],[Min]]</f>
        <v>0</v>
      </c>
      <c r="X3" t="e">
        <f>Table1610141822[[#This Row],[Column1]]</f>
        <v>#N/A</v>
      </c>
      <c r="Y3">
        <v>1</v>
      </c>
      <c r="Z3" t="e">
        <f t="shared" ref="Z3:Z27" si="1">VLOOKUP(Y3,$P$3:$U$27,3,0)</f>
        <v>#N/A</v>
      </c>
      <c r="AA3" t="e">
        <f t="shared" ref="AA3:AA27" si="2">VLOOKUP(Y3,$P$3:$U$27,4,0)</f>
        <v>#N/A</v>
      </c>
      <c r="AB3">
        <f t="shared" ref="AB3:AB27" si="3">VLOOKUP(Y3,$P$3:$U$27,5,0)</f>
        <v>0</v>
      </c>
      <c r="AC3">
        <f t="shared" ref="AC3:AC27" si="4">VLOOKUP(Y3,$P$3:$U$27,6,0)</f>
        <v>0</v>
      </c>
      <c r="AD3" t="e">
        <f>VLOOKUP(Table1610141822[[#This Row],['#]],Table2711151923[['#]:[Drop]],16,0)</f>
        <v>#N/A</v>
      </c>
      <c r="AE3">
        <f>COUNTIF($AD$3:AD3,"X")</f>
        <v>0</v>
      </c>
      <c r="AF3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3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3">
        <v>1</v>
      </c>
      <c r="AJ3" t="e">
        <f>VLOOKUP(AI3,$X$3:$AA$27,3,0)</f>
        <v>#N/A</v>
      </c>
      <c r="AK3" t="e">
        <f>VLOOKUP(AI3,$X$3:$AA$27,4,0)</f>
        <v>#N/A</v>
      </c>
      <c r="AM3" s="1">
        <v>1</v>
      </c>
      <c r="AN3" s="1" t="e">
        <f>VLOOKUP(AM3,$AI$3:$AL$18,2,0)</f>
        <v>#N/A</v>
      </c>
      <c r="AO3" s="1" t="e">
        <f>VLOOKUP(AM3,$AI$3:$AL$18,3,0)</f>
        <v>#N/A</v>
      </c>
    </row>
    <row r="4" spans="1:41" x14ac:dyDescent="0.3">
      <c r="A4">
        <v>2</v>
      </c>
      <c r="B4" t="e">
        <f>VLOOKUP('Round 6'!$A4,INDEX(Entry!$E$2:$U$23,1,'Round 6'!$A$1*2-1):'Entry'!$U$33,18-$A$1*2,0)</f>
        <v>#N/A</v>
      </c>
      <c r="C4" t="e">
        <f>VLOOKUP('Round 6'!$A4,INDEX(Entry!$E$2:$U$23,1,'Round 6'!$A$1*2-1):'Entry'!$U$33,19-$A$1*2,0)</f>
        <v>#N/A</v>
      </c>
      <c r="H4">
        <f t="shared" ref="H4:H27" si="5">ROUND(IFERROR(AVERAGE(E4:G4),0),2)</f>
        <v>0</v>
      </c>
      <c r="L4">
        <f t="shared" si="0"/>
        <v>0</v>
      </c>
      <c r="M4">
        <f t="shared" ref="M4:M27" si="6">MAX(H4:L4)</f>
        <v>0</v>
      </c>
      <c r="N4">
        <f t="shared" ref="N4:N27" si="7">IF(H4=M4,L4,H4)</f>
        <v>0</v>
      </c>
      <c r="O4">
        <f t="shared" ref="O4:O27" si="8">IFERROR(M4+N4/1000+((1000-B4)/1000000),0)</f>
        <v>0</v>
      </c>
      <c r="P4">
        <f t="shared" ref="P4:P27" si="9">RANK(O4,$O$3:$O$27,0)</f>
        <v>1</v>
      </c>
      <c r="R4" t="e">
        <f t="shared" ref="R4:S27" si="10">B4</f>
        <v>#N/A</v>
      </c>
      <c r="S4" t="e">
        <f t="shared" si="10"/>
        <v>#N/A</v>
      </c>
      <c r="T4">
        <f>Table2711151923[[#This Row],[Max]]</f>
        <v>0</v>
      </c>
      <c r="U4">
        <f>Table2711151923[[#This Row],[Min]]</f>
        <v>0</v>
      </c>
      <c r="X4" t="e">
        <f>Table1610141822[[#This Row],[Column1]]</f>
        <v>#N/A</v>
      </c>
      <c r="Y4">
        <v>2</v>
      </c>
      <c r="Z4" t="e">
        <f t="shared" si="1"/>
        <v>#N/A</v>
      </c>
      <c r="AA4" t="e">
        <f t="shared" si="2"/>
        <v>#N/A</v>
      </c>
      <c r="AB4" t="e">
        <f t="shared" si="3"/>
        <v>#N/A</v>
      </c>
      <c r="AC4" t="e">
        <f t="shared" si="4"/>
        <v>#N/A</v>
      </c>
      <c r="AD4" t="e">
        <f>VLOOKUP(Table1610141822[[#This Row],['#]],Table2711151923[['#]:[Drop]],16,0)</f>
        <v>#N/A</v>
      </c>
      <c r="AE4">
        <f>COUNTIF($AD$3:AD4,"X")</f>
        <v>0</v>
      </c>
      <c r="AF4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4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4">
        <v>2</v>
      </c>
      <c r="AJ4" t="e">
        <f t="shared" ref="AJ4:AJ18" si="11">VLOOKUP(AI4,$X$3:$AA$27,3,0)</f>
        <v>#N/A</v>
      </c>
      <c r="AK4" t="e">
        <f t="shared" ref="AK4:AK18" si="12">VLOOKUP(AI4,$X$3:$AA$27,4,0)</f>
        <v>#N/A</v>
      </c>
      <c r="AM4" s="1">
        <v>16</v>
      </c>
      <c r="AN4" s="1" t="e">
        <f>VLOOKUP(AM4,$AI$3:$AL$18,2,0)</f>
        <v>#N/A</v>
      </c>
      <c r="AO4" s="1" t="e">
        <f>VLOOKUP(AM4,$AI$3:$AL$18,3,0)</f>
        <v>#N/A</v>
      </c>
    </row>
    <row r="5" spans="1:41" x14ac:dyDescent="0.3">
      <c r="A5">
        <v>3</v>
      </c>
      <c r="B5" t="e">
        <f>VLOOKUP('Round 6'!$A5,INDEX(Entry!$E$2:$U$23,1,'Round 6'!$A$1*2-1):'Entry'!$U$33,18-$A$1*2,0)</f>
        <v>#N/A</v>
      </c>
      <c r="C5" t="e">
        <f>VLOOKUP('Round 6'!$A5,INDEX(Entry!$E$2:$U$23,1,'Round 6'!$A$1*2-1):'Entry'!$U$33,19-$A$1*2,0)</f>
        <v>#N/A</v>
      </c>
      <c r="H5">
        <f t="shared" si="5"/>
        <v>0</v>
      </c>
      <c r="L5">
        <f t="shared" si="0"/>
        <v>0</v>
      </c>
      <c r="M5">
        <f t="shared" si="6"/>
        <v>0</v>
      </c>
      <c r="N5">
        <f t="shared" si="7"/>
        <v>0</v>
      </c>
      <c r="O5">
        <f t="shared" si="8"/>
        <v>0</v>
      </c>
      <c r="P5">
        <f t="shared" si="9"/>
        <v>1</v>
      </c>
      <c r="R5" t="e">
        <f t="shared" si="10"/>
        <v>#N/A</v>
      </c>
      <c r="S5" t="e">
        <f t="shared" si="10"/>
        <v>#N/A</v>
      </c>
      <c r="T5">
        <f>Table2711151923[[#This Row],[Max]]</f>
        <v>0</v>
      </c>
      <c r="U5">
        <f>Table2711151923[[#This Row],[Min]]</f>
        <v>0</v>
      </c>
      <c r="X5" t="e">
        <f>Table1610141822[[#This Row],[Column1]]</f>
        <v>#N/A</v>
      </c>
      <c r="Y5">
        <v>3</v>
      </c>
      <c r="Z5" t="e">
        <f t="shared" si="1"/>
        <v>#N/A</v>
      </c>
      <c r="AA5" t="e">
        <f t="shared" si="2"/>
        <v>#N/A</v>
      </c>
      <c r="AB5" t="e">
        <f t="shared" si="3"/>
        <v>#N/A</v>
      </c>
      <c r="AC5" t="e">
        <f t="shared" si="4"/>
        <v>#N/A</v>
      </c>
      <c r="AD5" t="e">
        <f>VLOOKUP(Table1610141822[[#This Row],['#]],Table2711151923[['#]:[Drop]],16,0)</f>
        <v>#N/A</v>
      </c>
      <c r="AE5">
        <f>COUNTIF($AD$3:AD5,"X")</f>
        <v>0</v>
      </c>
      <c r="AF5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5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5">
        <v>3</v>
      </c>
      <c r="AJ5" t="e">
        <f t="shared" si="11"/>
        <v>#N/A</v>
      </c>
      <c r="AK5" t="e">
        <f t="shared" si="12"/>
        <v>#N/A</v>
      </c>
    </row>
    <row r="6" spans="1:41" x14ac:dyDescent="0.3">
      <c r="A6">
        <v>4</v>
      </c>
      <c r="B6" t="e">
        <f>VLOOKUP('Round 6'!$A6,INDEX(Entry!$E$2:$U$23,1,'Round 6'!$A$1*2-1):'Entry'!$U$33,18-$A$1*2,0)</f>
        <v>#N/A</v>
      </c>
      <c r="C6" t="e">
        <f>VLOOKUP('Round 6'!$A6,INDEX(Entry!$E$2:$U$23,1,'Round 6'!$A$1*2-1):'Entry'!$U$33,19-$A$1*2,0)</f>
        <v>#N/A</v>
      </c>
      <c r="H6">
        <f t="shared" si="5"/>
        <v>0</v>
      </c>
      <c r="L6">
        <f t="shared" si="0"/>
        <v>0</v>
      </c>
      <c r="M6">
        <f t="shared" si="6"/>
        <v>0</v>
      </c>
      <c r="N6">
        <f t="shared" si="7"/>
        <v>0</v>
      </c>
      <c r="O6">
        <f t="shared" si="8"/>
        <v>0</v>
      </c>
      <c r="P6">
        <f t="shared" si="9"/>
        <v>1</v>
      </c>
      <c r="R6" t="e">
        <f t="shared" si="10"/>
        <v>#N/A</v>
      </c>
      <c r="S6" t="e">
        <f t="shared" si="10"/>
        <v>#N/A</v>
      </c>
      <c r="T6">
        <f>Table2711151923[[#This Row],[Max]]</f>
        <v>0</v>
      </c>
      <c r="U6">
        <f>Table2711151923[[#This Row],[Min]]</f>
        <v>0</v>
      </c>
      <c r="X6" t="e">
        <f>Table1610141822[[#This Row],[Column1]]</f>
        <v>#N/A</v>
      </c>
      <c r="Y6">
        <v>4</v>
      </c>
      <c r="Z6" t="e">
        <f t="shared" si="1"/>
        <v>#N/A</v>
      </c>
      <c r="AA6" t="e">
        <f t="shared" si="2"/>
        <v>#N/A</v>
      </c>
      <c r="AB6" t="e">
        <f t="shared" si="3"/>
        <v>#N/A</v>
      </c>
      <c r="AC6" t="e">
        <f t="shared" si="4"/>
        <v>#N/A</v>
      </c>
      <c r="AD6" t="e">
        <f>VLOOKUP(Table1610141822[[#This Row],['#]],Table2711151923[['#]:[Drop]],16,0)</f>
        <v>#N/A</v>
      </c>
      <c r="AE6">
        <f>COUNTIF($AD$3:AD6,"X")</f>
        <v>0</v>
      </c>
      <c r="AF6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6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6">
        <v>4</v>
      </c>
      <c r="AJ6" t="e">
        <f t="shared" si="11"/>
        <v>#N/A</v>
      </c>
      <c r="AK6" t="e">
        <f t="shared" si="12"/>
        <v>#N/A</v>
      </c>
      <c r="AM6" s="1">
        <v>8</v>
      </c>
      <c r="AN6" s="1" t="e">
        <f>VLOOKUP(AM6,$AI$3:$AL$18,2,0)</f>
        <v>#N/A</v>
      </c>
      <c r="AO6" s="1" t="e">
        <f>VLOOKUP(AM6,$AI$3:$AL$18,3,0)</f>
        <v>#N/A</v>
      </c>
    </row>
    <row r="7" spans="1:41" x14ac:dyDescent="0.3">
      <c r="A7">
        <v>5</v>
      </c>
      <c r="B7" t="e">
        <f>VLOOKUP('Round 6'!$A7,INDEX(Entry!$E$2:$U$23,1,'Round 6'!$A$1*2-1):'Entry'!$U$33,18-$A$1*2,0)</f>
        <v>#N/A</v>
      </c>
      <c r="C7" t="e">
        <f>VLOOKUP('Round 6'!$A7,INDEX(Entry!$E$2:$U$23,1,'Round 6'!$A$1*2-1):'Entry'!$U$33,19-$A$1*2,0)</f>
        <v>#N/A</v>
      </c>
      <c r="H7">
        <f t="shared" si="5"/>
        <v>0</v>
      </c>
      <c r="L7">
        <f t="shared" si="0"/>
        <v>0</v>
      </c>
      <c r="M7">
        <f t="shared" si="6"/>
        <v>0</v>
      </c>
      <c r="N7">
        <f t="shared" si="7"/>
        <v>0</v>
      </c>
      <c r="O7">
        <f t="shared" si="8"/>
        <v>0</v>
      </c>
      <c r="P7">
        <f t="shared" si="9"/>
        <v>1</v>
      </c>
      <c r="R7" t="e">
        <f t="shared" si="10"/>
        <v>#N/A</v>
      </c>
      <c r="S7" t="e">
        <f t="shared" si="10"/>
        <v>#N/A</v>
      </c>
      <c r="T7">
        <f>Table2711151923[[#This Row],[Max]]</f>
        <v>0</v>
      </c>
      <c r="U7">
        <f>Table2711151923[[#This Row],[Min]]</f>
        <v>0</v>
      </c>
      <c r="X7" t="e">
        <f>Table1610141822[[#This Row],[Column1]]</f>
        <v>#N/A</v>
      </c>
      <c r="Y7">
        <v>5</v>
      </c>
      <c r="Z7" t="e">
        <f t="shared" si="1"/>
        <v>#N/A</v>
      </c>
      <c r="AA7" t="e">
        <f t="shared" si="2"/>
        <v>#N/A</v>
      </c>
      <c r="AB7" t="e">
        <f t="shared" si="3"/>
        <v>#N/A</v>
      </c>
      <c r="AC7" t="e">
        <f t="shared" si="4"/>
        <v>#N/A</v>
      </c>
      <c r="AD7" t="e">
        <f>VLOOKUP(Table1610141822[[#This Row],['#]],Table2711151923[['#]:[Drop]],16,0)</f>
        <v>#N/A</v>
      </c>
      <c r="AE7">
        <f>COUNTIF($AD$3:AD7,"X")</f>
        <v>0</v>
      </c>
      <c r="AF7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7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7">
        <v>5</v>
      </c>
      <c r="AJ7" t="e">
        <f t="shared" si="11"/>
        <v>#N/A</v>
      </c>
      <c r="AK7" t="e">
        <f t="shared" si="12"/>
        <v>#N/A</v>
      </c>
      <c r="AM7" s="1">
        <v>9</v>
      </c>
      <c r="AN7" s="1" t="e">
        <f>VLOOKUP(AM7,$AI$3:$AL$18,2,0)</f>
        <v>#N/A</v>
      </c>
      <c r="AO7" s="1" t="e">
        <f>VLOOKUP(AM7,$AI$3:$AL$18,3,0)</f>
        <v>#N/A</v>
      </c>
    </row>
    <row r="8" spans="1:41" x14ac:dyDescent="0.3">
      <c r="A8">
        <v>6</v>
      </c>
      <c r="B8" t="e">
        <f>VLOOKUP('Round 6'!$A8,INDEX(Entry!$E$2:$U$23,1,'Round 6'!$A$1*2-1):'Entry'!$U$33,18-$A$1*2,0)</f>
        <v>#N/A</v>
      </c>
      <c r="C8" t="e">
        <f>VLOOKUP('Round 6'!$A8,INDEX(Entry!$E$2:$U$23,1,'Round 6'!$A$1*2-1):'Entry'!$U$33,19-$A$1*2,0)</f>
        <v>#N/A</v>
      </c>
      <c r="H8">
        <f t="shared" si="5"/>
        <v>0</v>
      </c>
      <c r="L8">
        <f t="shared" si="0"/>
        <v>0</v>
      </c>
      <c r="M8">
        <f t="shared" si="6"/>
        <v>0</v>
      </c>
      <c r="N8">
        <f t="shared" si="7"/>
        <v>0</v>
      </c>
      <c r="O8">
        <f t="shared" si="8"/>
        <v>0</v>
      </c>
      <c r="P8">
        <f t="shared" si="9"/>
        <v>1</v>
      </c>
      <c r="R8" t="e">
        <f t="shared" si="10"/>
        <v>#N/A</v>
      </c>
      <c r="S8" t="e">
        <f t="shared" si="10"/>
        <v>#N/A</v>
      </c>
      <c r="T8">
        <f>Table2711151923[[#This Row],[Max]]</f>
        <v>0</v>
      </c>
      <c r="U8">
        <f>Table2711151923[[#This Row],[Min]]</f>
        <v>0</v>
      </c>
      <c r="X8" t="e">
        <f>Table1610141822[[#This Row],[Column1]]</f>
        <v>#N/A</v>
      </c>
      <c r="Y8">
        <v>6</v>
      </c>
      <c r="Z8" t="e">
        <f t="shared" si="1"/>
        <v>#N/A</v>
      </c>
      <c r="AA8" t="e">
        <f t="shared" si="2"/>
        <v>#N/A</v>
      </c>
      <c r="AB8" t="e">
        <f t="shared" si="3"/>
        <v>#N/A</v>
      </c>
      <c r="AC8" t="e">
        <f t="shared" si="4"/>
        <v>#N/A</v>
      </c>
      <c r="AD8" t="e">
        <f>VLOOKUP(Table1610141822[[#This Row],['#]],Table2711151923[['#]:[Drop]],16,0)</f>
        <v>#N/A</v>
      </c>
      <c r="AE8">
        <f>COUNTIF($AD$3:AD8,"X")</f>
        <v>0</v>
      </c>
      <c r="AF8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8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8">
        <v>6</v>
      </c>
      <c r="AJ8" t="e">
        <f t="shared" si="11"/>
        <v>#N/A</v>
      </c>
      <c r="AK8" t="e">
        <f t="shared" si="12"/>
        <v>#N/A</v>
      </c>
    </row>
    <row r="9" spans="1:41" x14ac:dyDescent="0.3">
      <c r="A9">
        <v>7</v>
      </c>
      <c r="B9" t="e">
        <f>VLOOKUP('Round 6'!$A9,INDEX(Entry!$E$2:$U$23,1,'Round 6'!$A$1*2-1):'Entry'!$U$33,18-$A$1*2,0)</f>
        <v>#N/A</v>
      </c>
      <c r="C9" t="e">
        <f>VLOOKUP('Round 6'!$A9,INDEX(Entry!$E$2:$U$23,1,'Round 6'!$A$1*2-1):'Entry'!$U$33,19-$A$1*2,0)</f>
        <v>#N/A</v>
      </c>
      <c r="H9">
        <f t="shared" si="5"/>
        <v>0</v>
      </c>
      <c r="L9">
        <f t="shared" si="0"/>
        <v>0</v>
      </c>
      <c r="M9">
        <f t="shared" si="6"/>
        <v>0</v>
      </c>
      <c r="N9">
        <f t="shared" si="7"/>
        <v>0</v>
      </c>
      <c r="O9">
        <f t="shared" si="8"/>
        <v>0</v>
      </c>
      <c r="P9">
        <f t="shared" si="9"/>
        <v>1</v>
      </c>
      <c r="R9" t="e">
        <f t="shared" si="10"/>
        <v>#N/A</v>
      </c>
      <c r="S9" t="e">
        <f t="shared" si="10"/>
        <v>#N/A</v>
      </c>
      <c r="T9">
        <f>Table2711151923[[#This Row],[Max]]</f>
        <v>0</v>
      </c>
      <c r="U9">
        <f>Table2711151923[[#This Row],[Min]]</f>
        <v>0</v>
      </c>
      <c r="X9" t="e">
        <f>Table1610141822[[#This Row],[Column1]]</f>
        <v>#N/A</v>
      </c>
      <c r="Y9">
        <v>7</v>
      </c>
      <c r="Z9" t="e">
        <f t="shared" si="1"/>
        <v>#N/A</v>
      </c>
      <c r="AA9" t="e">
        <f t="shared" si="2"/>
        <v>#N/A</v>
      </c>
      <c r="AB9" t="e">
        <f t="shared" si="3"/>
        <v>#N/A</v>
      </c>
      <c r="AC9" t="e">
        <f t="shared" si="4"/>
        <v>#N/A</v>
      </c>
      <c r="AD9" t="e">
        <f>VLOOKUP(Table1610141822[[#This Row],['#]],Table2711151923[['#]:[Drop]],16,0)</f>
        <v>#N/A</v>
      </c>
      <c r="AE9">
        <f>COUNTIF($AD$3:AD9,"X")</f>
        <v>0</v>
      </c>
      <c r="AF9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9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9">
        <v>7</v>
      </c>
      <c r="AJ9" t="e">
        <f t="shared" si="11"/>
        <v>#N/A</v>
      </c>
      <c r="AK9" t="e">
        <f t="shared" si="12"/>
        <v>#N/A</v>
      </c>
      <c r="AM9" s="1">
        <v>4</v>
      </c>
      <c r="AN9" s="1" t="e">
        <f>VLOOKUP(AM9,$AI$3:$AL$18,2,0)</f>
        <v>#N/A</v>
      </c>
      <c r="AO9" s="1" t="e">
        <f>VLOOKUP(AM9,$AI$3:$AL$18,3,0)</f>
        <v>#N/A</v>
      </c>
    </row>
    <row r="10" spans="1:41" x14ac:dyDescent="0.3">
      <c r="A10">
        <v>8</v>
      </c>
      <c r="B10" t="e">
        <f>VLOOKUP('Round 6'!$A10,INDEX(Entry!$E$2:$U$23,1,'Round 6'!$A$1*2-1):'Entry'!$U$33,18-$A$1*2,0)</f>
        <v>#N/A</v>
      </c>
      <c r="C10" t="e">
        <f>VLOOKUP('Round 6'!$A10,INDEX(Entry!$E$2:$U$23,1,'Round 6'!$A$1*2-1):'Entry'!$U$33,19-$A$1*2,0)</f>
        <v>#N/A</v>
      </c>
      <c r="H10">
        <f t="shared" si="5"/>
        <v>0</v>
      </c>
      <c r="L10">
        <f t="shared" si="0"/>
        <v>0</v>
      </c>
      <c r="M10">
        <f t="shared" si="6"/>
        <v>0</v>
      </c>
      <c r="N10">
        <f t="shared" si="7"/>
        <v>0</v>
      </c>
      <c r="O10">
        <f t="shared" si="8"/>
        <v>0</v>
      </c>
      <c r="P10">
        <f t="shared" si="9"/>
        <v>1</v>
      </c>
      <c r="R10" t="e">
        <f t="shared" si="10"/>
        <v>#N/A</v>
      </c>
      <c r="S10" t="e">
        <f t="shared" si="10"/>
        <v>#N/A</v>
      </c>
      <c r="T10">
        <f>Table2711151923[[#This Row],[Max]]</f>
        <v>0</v>
      </c>
      <c r="U10">
        <f>Table2711151923[[#This Row],[Min]]</f>
        <v>0</v>
      </c>
      <c r="X10" t="e">
        <f>Table1610141822[[#This Row],[Column1]]</f>
        <v>#N/A</v>
      </c>
      <c r="Y10">
        <v>8</v>
      </c>
      <c r="Z10" t="e">
        <f t="shared" si="1"/>
        <v>#N/A</v>
      </c>
      <c r="AA10" t="e">
        <f t="shared" si="2"/>
        <v>#N/A</v>
      </c>
      <c r="AB10" t="e">
        <f t="shared" si="3"/>
        <v>#N/A</v>
      </c>
      <c r="AC10" t="e">
        <f t="shared" si="4"/>
        <v>#N/A</v>
      </c>
      <c r="AD10" t="e">
        <f>VLOOKUP(Table1610141822[[#This Row],['#]],Table2711151923[['#]:[Drop]],16,0)</f>
        <v>#N/A</v>
      </c>
      <c r="AE10">
        <f>COUNTIF($AD$3:AD10,"X")</f>
        <v>0</v>
      </c>
      <c r="AF10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0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0">
        <v>8</v>
      </c>
      <c r="AJ10" t="e">
        <f t="shared" si="11"/>
        <v>#N/A</v>
      </c>
      <c r="AK10" t="e">
        <f t="shared" si="12"/>
        <v>#N/A</v>
      </c>
      <c r="AM10" s="1">
        <v>13</v>
      </c>
      <c r="AN10" s="1" t="e">
        <f>VLOOKUP(AM10,$AI$3:$AL$18,2,0)</f>
        <v>#N/A</v>
      </c>
      <c r="AO10" s="1" t="e">
        <f>VLOOKUP(AM10,$AI$3:$AL$18,3,0)</f>
        <v>#N/A</v>
      </c>
    </row>
    <row r="11" spans="1:41" x14ac:dyDescent="0.3">
      <c r="A11">
        <v>9</v>
      </c>
      <c r="B11" t="e">
        <f>VLOOKUP('Round 6'!$A11,INDEX(Entry!$E$2:$U$23,1,'Round 6'!$A$1*2-1):'Entry'!$U$33,18-$A$1*2,0)</f>
        <v>#N/A</v>
      </c>
      <c r="C11" t="e">
        <f>VLOOKUP('Round 6'!$A11,INDEX(Entry!$E$2:$U$23,1,'Round 6'!$A$1*2-1):'Entry'!$U$33,19-$A$1*2,0)</f>
        <v>#N/A</v>
      </c>
      <c r="H11">
        <f t="shared" si="5"/>
        <v>0</v>
      </c>
      <c r="L11">
        <f t="shared" si="0"/>
        <v>0</v>
      </c>
      <c r="M11">
        <f t="shared" si="6"/>
        <v>0</v>
      </c>
      <c r="N11">
        <f t="shared" si="7"/>
        <v>0</v>
      </c>
      <c r="O11">
        <f t="shared" si="8"/>
        <v>0</v>
      </c>
      <c r="P11">
        <f t="shared" si="9"/>
        <v>1</v>
      </c>
      <c r="R11" t="e">
        <f t="shared" si="10"/>
        <v>#N/A</v>
      </c>
      <c r="S11" t="e">
        <f t="shared" si="10"/>
        <v>#N/A</v>
      </c>
      <c r="T11">
        <f>Table2711151923[[#This Row],[Max]]</f>
        <v>0</v>
      </c>
      <c r="U11">
        <f>Table2711151923[[#This Row],[Min]]</f>
        <v>0</v>
      </c>
      <c r="X11" t="e">
        <f>Table1610141822[[#This Row],[Column1]]</f>
        <v>#N/A</v>
      </c>
      <c r="Y11">
        <v>9</v>
      </c>
      <c r="Z11" t="e">
        <f t="shared" si="1"/>
        <v>#N/A</v>
      </c>
      <c r="AA11" t="e">
        <f t="shared" si="2"/>
        <v>#N/A</v>
      </c>
      <c r="AB11" t="e">
        <f t="shared" si="3"/>
        <v>#N/A</v>
      </c>
      <c r="AC11" t="e">
        <f t="shared" si="4"/>
        <v>#N/A</v>
      </c>
      <c r="AD11" t="e">
        <f>VLOOKUP(Table1610141822[[#This Row],['#]],Table2711151923[['#]:[Drop]],16,0)</f>
        <v>#N/A</v>
      </c>
      <c r="AE11">
        <f>COUNTIF($AD$3:AD11,"X")</f>
        <v>0</v>
      </c>
      <c r="AF11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1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1">
        <v>9</v>
      </c>
      <c r="AJ11" t="e">
        <f t="shared" si="11"/>
        <v>#N/A</v>
      </c>
      <c r="AK11" t="e">
        <f t="shared" si="12"/>
        <v>#N/A</v>
      </c>
    </row>
    <row r="12" spans="1:41" x14ac:dyDescent="0.3">
      <c r="A12">
        <v>10</v>
      </c>
      <c r="B12" t="e">
        <f>VLOOKUP('Round 6'!$A12,INDEX(Entry!$E$2:$U$23,1,'Round 6'!$A$1*2-1):'Entry'!$U$33,18-$A$1*2,0)</f>
        <v>#N/A</v>
      </c>
      <c r="C12" t="e">
        <f>VLOOKUP('Round 6'!$A12,INDEX(Entry!$E$2:$U$23,1,'Round 6'!$A$1*2-1):'Entry'!$U$33,19-$A$1*2,0)</f>
        <v>#N/A</v>
      </c>
      <c r="H12">
        <f t="shared" si="5"/>
        <v>0</v>
      </c>
      <c r="L12">
        <f t="shared" si="0"/>
        <v>0</v>
      </c>
      <c r="M12">
        <f t="shared" si="6"/>
        <v>0</v>
      </c>
      <c r="N12">
        <f t="shared" si="7"/>
        <v>0</v>
      </c>
      <c r="O12">
        <f t="shared" si="8"/>
        <v>0</v>
      </c>
      <c r="P12">
        <f t="shared" si="9"/>
        <v>1</v>
      </c>
      <c r="R12" t="e">
        <f t="shared" si="10"/>
        <v>#N/A</v>
      </c>
      <c r="S12" t="e">
        <f t="shared" si="10"/>
        <v>#N/A</v>
      </c>
      <c r="T12">
        <f>Table2711151923[[#This Row],[Max]]</f>
        <v>0</v>
      </c>
      <c r="U12">
        <f>Table2711151923[[#This Row],[Min]]</f>
        <v>0</v>
      </c>
      <c r="X12" t="e">
        <f>Table1610141822[[#This Row],[Column1]]</f>
        <v>#N/A</v>
      </c>
      <c r="Y12">
        <v>10</v>
      </c>
      <c r="Z12" t="e">
        <f t="shared" si="1"/>
        <v>#N/A</v>
      </c>
      <c r="AA12" t="e">
        <f t="shared" si="2"/>
        <v>#N/A</v>
      </c>
      <c r="AB12" t="e">
        <f t="shared" si="3"/>
        <v>#N/A</v>
      </c>
      <c r="AC12" t="e">
        <f t="shared" si="4"/>
        <v>#N/A</v>
      </c>
      <c r="AD12" t="e">
        <f>VLOOKUP(Table1610141822[[#This Row],['#]],Table2711151923[['#]:[Drop]],16,0)</f>
        <v>#N/A</v>
      </c>
      <c r="AE12">
        <f>COUNTIF($AD$3:AD12,"X")</f>
        <v>0</v>
      </c>
      <c r="AF12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2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2">
        <v>10</v>
      </c>
      <c r="AJ12" t="e">
        <f t="shared" si="11"/>
        <v>#N/A</v>
      </c>
      <c r="AK12" t="e">
        <f t="shared" si="12"/>
        <v>#N/A</v>
      </c>
      <c r="AM12" s="1">
        <v>5</v>
      </c>
      <c r="AN12" s="1" t="e">
        <f>VLOOKUP(AM12,$AI$3:$AL$18,2,0)</f>
        <v>#N/A</v>
      </c>
      <c r="AO12" s="1" t="e">
        <f>VLOOKUP(AM12,$AI$3:$AL$18,3,0)</f>
        <v>#N/A</v>
      </c>
    </row>
    <row r="13" spans="1:41" x14ac:dyDescent="0.3">
      <c r="A13">
        <v>11</v>
      </c>
      <c r="B13" t="e">
        <f>VLOOKUP('Round 6'!$A13,INDEX(Entry!$E$2:$U$23,1,'Round 6'!$A$1*2-1):'Entry'!$U$33,18-$A$1*2,0)</f>
        <v>#N/A</v>
      </c>
      <c r="C13" t="e">
        <f>VLOOKUP('Round 6'!$A13,INDEX(Entry!$E$2:$U$23,1,'Round 6'!$A$1*2-1):'Entry'!$U$33,19-$A$1*2,0)</f>
        <v>#N/A</v>
      </c>
      <c r="H13">
        <f t="shared" si="5"/>
        <v>0</v>
      </c>
      <c r="L13">
        <f t="shared" si="0"/>
        <v>0</v>
      </c>
      <c r="M13">
        <f t="shared" si="6"/>
        <v>0</v>
      </c>
      <c r="N13">
        <f t="shared" si="7"/>
        <v>0</v>
      </c>
      <c r="O13">
        <f t="shared" si="8"/>
        <v>0</v>
      </c>
      <c r="P13">
        <f t="shared" si="9"/>
        <v>1</v>
      </c>
      <c r="R13" t="e">
        <f t="shared" si="10"/>
        <v>#N/A</v>
      </c>
      <c r="S13" t="e">
        <f t="shared" si="10"/>
        <v>#N/A</v>
      </c>
      <c r="T13">
        <f>Table2711151923[[#This Row],[Max]]</f>
        <v>0</v>
      </c>
      <c r="U13">
        <f>Table2711151923[[#This Row],[Min]]</f>
        <v>0</v>
      </c>
      <c r="X13" t="e">
        <f>Table1610141822[[#This Row],[Column1]]</f>
        <v>#N/A</v>
      </c>
      <c r="Y13">
        <v>11</v>
      </c>
      <c r="Z13" t="e">
        <f t="shared" si="1"/>
        <v>#N/A</v>
      </c>
      <c r="AA13" t="e">
        <f t="shared" si="2"/>
        <v>#N/A</v>
      </c>
      <c r="AB13" t="e">
        <f t="shared" si="3"/>
        <v>#N/A</v>
      </c>
      <c r="AC13" t="e">
        <f t="shared" si="4"/>
        <v>#N/A</v>
      </c>
      <c r="AD13" t="e">
        <f>VLOOKUP(Table1610141822[[#This Row],['#]],Table2711151923[['#]:[Drop]],16,0)</f>
        <v>#N/A</v>
      </c>
      <c r="AE13">
        <f>COUNTIF($AD$3:AD13,"X")</f>
        <v>0</v>
      </c>
      <c r="AF13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3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3">
        <v>11</v>
      </c>
      <c r="AJ13" t="e">
        <f t="shared" si="11"/>
        <v>#N/A</v>
      </c>
      <c r="AK13" t="e">
        <f t="shared" si="12"/>
        <v>#N/A</v>
      </c>
      <c r="AM13" s="1">
        <v>12</v>
      </c>
      <c r="AN13" s="1" t="e">
        <f>VLOOKUP(AM13,$AI$3:$AL$18,2,0)</f>
        <v>#N/A</v>
      </c>
      <c r="AO13" s="1" t="e">
        <f>VLOOKUP(AM13,$AI$3:$AL$18,3,0)</f>
        <v>#N/A</v>
      </c>
    </row>
    <row r="14" spans="1:41" x14ac:dyDescent="0.3">
      <c r="A14">
        <v>12</v>
      </c>
      <c r="B14" t="e">
        <f>VLOOKUP('Round 6'!$A14,INDEX(Entry!$E$2:$U$23,1,'Round 6'!$A$1*2-1):'Entry'!$U$33,18-$A$1*2,0)</f>
        <v>#N/A</v>
      </c>
      <c r="C14" t="e">
        <f>VLOOKUP('Round 6'!$A14,INDEX(Entry!$E$2:$U$23,1,'Round 6'!$A$1*2-1):'Entry'!$U$33,19-$A$1*2,0)</f>
        <v>#N/A</v>
      </c>
      <c r="H14">
        <f t="shared" si="5"/>
        <v>0</v>
      </c>
      <c r="L14">
        <f t="shared" si="0"/>
        <v>0</v>
      </c>
      <c r="M14">
        <f t="shared" si="6"/>
        <v>0</v>
      </c>
      <c r="N14">
        <f t="shared" si="7"/>
        <v>0</v>
      </c>
      <c r="O14">
        <f t="shared" si="8"/>
        <v>0</v>
      </c>
      <c r="P14">
        <f t="shared" si="9"/>
        <v>1</v>
      </c>
      <c r="R14" t="e">
        <f t="shared" si="10"/>
        <v>#N/A</v>
      </c>
      <c r="S14" t="e">
        <f t="shared" si="10"/>
        <v>#N/A</v>
      </c>
      <c r="T14">
        <f>Table2711151923[[#This Row],[Max]]</f>
        <v>0</v>
      </c>
      <c r="U14">
        <f>Table2711151923[[#This Row],[Min]]</f>
        <v>0</v>
      </c>
      <c r="X14" t="e">
        <f>Table1610141822[[#This Row],[Column1]]</f>
        <v>#N/A</v>
      </c>
      <c r="Y14">
        <v>12</v>
      </c>
      <c r="Z14" t="e">
        <f t="shared" si="1"/>
        <v>#N/A</v>
      </c>
      <c r="AA14" t="e">
        <f t="shared" si="2"/>
        <v>#N/A</v>
      </c>
      <c r="AB14" t="e">
        <f t="shared" si="3"/>
        <v>#N/A</v>
      </c>
      <c r="AC14" t="e">
        <f t="shared" si="4"/>
        <v>#N/A</v>
      </c>
      <c r="AD14" t="e">
        <f>VLOOKUP(Table1610141822[[#This Row],['#]],Table2711151923[['#]:[Drop]],16,0)</f>
        <v>#N/A</v>
      </c>
      <c r="AE14">
        <f>COUNTIF($AD$3:AD14,"X")</f>
        <v>0</v>
      </c>
      <c r="AF14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4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4">
        <v>12</v>
      </c>
      <c r="AJ14" t="e">
        <f t="shared" si="11"/>
        <v>#N/A</v>
      </c>
      <c r="AK14" t="e">
        <f t="shared" si="12"/>
        <v>#N/A</v>
      </c>
    </row>
    <row r="15" spans="1:41" x14ac:dyDescent="0.3">
      <c r="A15">
        <v>13</v>
      </c>
      <c r="B15" t="e">
        <f>VLOOKUP('Round 6'!$A15,INDEX(Entry!$E$2:$U$23,1,'Round 6'!$A$1*2-1):'Entry'!$U$33,18-$A$1*2,0)</f>
        <v>#N/A</v>
      </c>
      <c r="C15" t="e">
        <f>VLOOKUP('Round 6'!$A15,INDEX(Entry!$E$2:$U$23,1,'Round 6'!$A$1*2-1):'Entry'!$U$33,19-$A$1*2,0)</f>
        <v>#N/A</v>
      </c>
      <c r="H15">
        <f t="shared" si="5"/>
        <v>0</v>
      </c>
      <c r="L15">
        <f t="shared" si="0"/>
        <v>0</v>
      </c>
      <c r="M15">
        <f t="shared" si="6"/>
        <v>0</v>
      </c>
      <c r="N15">
        <f t="shared" si="7"/>
        <v>0</v>
      </c>
      <c r="O15">
        <f t="shared" si="8"/>
        <v>0</v>
      </c>
      <c r="P15">
        <f t="shared" si="9"/>
        <v>1</v>
      </c>
      <c r="R15" t="e">
        <f t="shared" si="10"/>
        <v>#N/A</v>
      </c>
      <c r="S15" t="e">
        <f t="shared" si="10"/>
        <v>#N/A</v>
      </c>
      <c r="T15">
        <f>Table2711151923[[#This Row],[Max]]</f>
        <v>0</v>
      </c>
      <c r="U15">
        <f>Table2711151923[[#This Row],[Min]]</f>
        <v>0</v>
      </c>
      <c r="X15" t="e">
        <f>Table1610141822[[#This Row],[Column1]]</f>
        <v>#N/A</v>
      </c>
      <c r="Y15">
        <v>13</v>
      </c>
      <c r="Z15" t="e">
        <f t="shared" si="1"/>
        <v>#N/A</v>
      </c>
      <c r="AA15" t="e">
        <f t="shared" si="2"/>
        <v>#N/A</v>
      </c>
      <c r="AB15" t="e">
        <f t="shared" si="3"/>
        <v>#N/A</v>
      </c>
      <c r="AC15" t="e">
        <f t="shared" si="4"/>
        <v>#N/A</v>
      </c>
      <c r="AD15" t="e">
        <f>VLOOKUP(Table1610141822[[#This Row],['#]],Table2711151923[['#]:[Drop]],16,0)</f>
        <v>#N/A</v>
      </c>
      <c r="AE15">
        <f>COUNTIF($AD$3:AD15,"X")</f>
        <v>0</v>
      </c>
      <c r="AF15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5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5">
        <v>13</v>
      </c>
      <c r="AJ15" t="e">
        <f t="shared" si="11"/>
        <v>#N/A</v>
      </c>
      <c r="AK15" t="e">
        <f t="shared" si="12"/>
        <v>#N/A</v>
      </c>
      <c r="AM15" s="1">
        <v>2</v>
      </c>
      <c r="AN15" s="1" t="e">
        <f>VLOOKUP(AM15,$AI$3:$AL$18,2,0)</f>
        <v>#N/A</v>
      </c>
      <c r="AO15" s="1" t="e">
        <f>VLOOKUP(AM15,$AI$3:$AL$18,3,0)</f>
        <v>#N/A</v>
      </c>
    </row>
    <row r="16" spans="1:41" x14ac:dyDescent="0.3">
      <c r="A16">
        <v>14</v>
      </c>
      <c r="B16" t="e">
        <f>VLOOKUP('Round 6'!$A16,INDEX(Entry!$E$2:$U$23,1,'Round 6'!$A$1*2-1):'Entry'!$U$33,18-$A$1*2,0)</f>
        <v>#N/A</v>
      </c>
      <c r="C16" t="e">
        <f>VLOOKUP('Round 6'!$A16,INDEX(Entry!$E$2:$U$23,1,'Round 6'!$A$1*2-1):'Entry'!$U$33,19-$A$1*2,0)</f>
        <v>#N/A</v>
      </c>
      <c r="H16">
        <f t="shared" si="5"/>
        <v>0</v>
      </c>
      <c r="L16">
        <f t="shared" si="0"/>
        <v>0</v>
      </c>
      <c r="M16">
        <f t="shared" si="6"/>
        <v>0</v>
      </c>
      <c r="N16">
        <f t="shared" si="7"/>
        <v>0</v>
      </c>
      <c r="O16">
        <f t="shared" si="8"/>
        <v>0</v>
      </c>
      <c r="P16">
        <f t="shared" si="9"/>
        <v>1</v>
      </c>
      <c r="R16" t="e">
        <f t="shared" si="10"/>
        <v>#N/A</v>
      </c>
      <c r="S16" t="e">
        <f t="shared" si="10"/>
        <v>#N/A</v>
      </c>
      <c r="T16">
        <f>Table2711151923[[#This Row],[Max]]</f>
        <v>0</v>
      </c>
      <c r="U16">
        <f>Table2711151923[[#This Row],[Min]]</f>
        <v>0</v>
      </c>
      <c r="X16" t="e">
        <f>Table1610141822[[#This Row],[Column1]]</f>
        <v>#N/A</v>
      </c>
      <c r="Y16">
        <v>14</v>
      </c>
      <c r="Z16" t="e">
        <f t="shared" si="1"/>
        <v>#N/A</v>
      </c>
      <c r="AA16" t="e">
        <f t="shared" si="2"/>
        <v>#N/A</v>
      </c>
      <c r="AB16" t="e">
        <f t="shared" si="3"/>
        <v>#N/A</v>
      </c>
      <c r="AC16" t="e">
        <f t="shared" si="4"/>
        <v>#N/A</v>
      </c>
      <c r="AD16" t="e">
        <f>VLOOKUP(Table1610141822[[#This Row],['#]],Table2711151923[['#]:[Drop]],16,0)</f>
        <v>#N/A</v>
      </c>
      <c r="AE16">
        <f>COUNTIF($AD$3:AD16,"X")</f>
        <v>0</v>
      </c>
      <c r="AF16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6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6">
        <v>14</v>
      </c>
      <c r="AJ16" t="e">
        <f t="shared" si="11"/>
        <v>#N/A</v>
      </c>
      <c r="AK16" t="e">
        <f t="shared" si="12"/>
        <v>#N/A</v>
      </c>
      <c r="AM16" s="1">
        <v>15</v>
      </c>
      <c r="AN16" s="1" t="e">
        <f>VLOOKUP(AM16,$AI$3:$AL$18,2,0)</f>
        <v>#N/A</v>
      </c>
      <c r="AO16" s="1" t="e">
        <f>VLOOKUP(AM16,$AI$3:$AL$18,3,0)</f>
        <v>#N/A</v>
      </c>
    </row>
    <row r="17" spans="1:41" x14ac:dyDescent="0.3">
      <c r="A17">
        <v>15</v>
      </c>
      <c r="B17" t="e">
        <f>VLOOKUP('Round 6'!$A17,INDEX(Entry!$E$2:$U$23,1,'Round 6'!$A$1*2-1):'Entry'!$U$33,18-$A$1*2,0)</f>
        <v>#N/A</v>
      </c>
      <c r="C17" t="e">
        <f>VLOOKUP('Round 6'!$A17,INDEX(Entry!$E$2:$U$23,1,'Round 6'!$A$1*2-1):'Entry'!$U$33,19-$A$1*2,0)</f>
        <v>#N/A</v>
      </c>
      <c r="H17">
        <f t="shared" si="5"/>
        <v>0</v>
      </c>
      <c r="L17">
        <f t="shared" si="0"/>
        <v>0</v>
      </c>
      <c r="M17">
        <f t="shared" si="6"/>
        <v>0</v>
      </c>
      <c r="N17">
        <f t="shared" si="7"/>
        <v>0</v>
      </c>
      <c r="O17">
        <f t="shared" si="8"/>
        <v>0</v>
      </c>
      <c r="P17">
        <f t="shared" si="9"/>
        <v>1</v>
      </c>
      <c r="R17" t="e">
        <f t="shared" si="10"/>
        <v>#N/A</v>
      </c>
      <c r="S17" t="e">
        <f t="shared" si="10"/>
        <v>#N/A</v>
      </c>
      <c r="T17">
        <f>Table2711151923[[#This Row],[Max]]</f>
        <v>0</v>
      </c>
      <c r="U17">
        <f>Table2711151923[[#This Row],[Min]]</f>
        <v>0</v>
      </c>
      <c r="X17" t="e">
        <f>Table1610141822[[#This Row],[Column1]]</f>
        <v>#N/A</v>
      </c>
      <c r="Y17">
        <v>15</v>
      </c>
      <c r="Z17" t="e">
        <f t="shared" si="1"/>
        <v>#N/A</v>
      </c>
      <c r="AA17" t="e">
        <f t="shared" si="2"/>
        <v>#N/A</v>
      </c>
      <c r="AB17" t="e">
        <f t="shared" si="3"/>
        <v>#N/A</v>
      </c>
      <c r="AC17" t="e">
        <f t="shared" si="4"/>
        <v>#N/A</v>
      </c>
      <c r="AD17" t="e">
        <f>VLOOKUP(Table1610141822[[#This Row],['#]],Table2711151923[['#]:[Drop]],16,0)</f>
        <v>#N/A</v>
      </c>
      <c r="AE17">
        <f>COUNTIF($AD$3:AD17,"X")</f>
        <v>0</v>
      </c>
      <c r="AF17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7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7">
        <v>15</v>
      </c>
      <c r="AJ17" t="e">
        <f t="shared" si="11"/>
        <v>#N/A</v>
      </c>
      <c r="AK17" t="e">
        <f t="shared" si="12"/>
        <v>#N/A</v>
      </c>
    </row>
    <row r="18" spans="1:41" x14ac:dyDescent="0.3">
      <c r="A18">
        <v>16</v>
      </c>
      <c r="B18" t="e">
        <f>VLOOKUP('Round 6'!$A18,INDEX(Entry!$E$2:$U$23,1,'Round 6'!$A$1*2-1):'Entry'!$U$33,18-$A$1*2,0)</f>
        <v>#N/A</v>
      </c>
      <c r="C18" t="e">
        <f>VLOOKUP('Round 6'!$A18,INDEX(Entry!$E$2:$U$23,1,'Round 6'!$A$1*2-1):'Entry'!$U$33,19-$A$1*2,0)</f>
        <v>#N/A</v>
      </c>
      <c r="H18">
        <f t="shared" si="5"/>
        <v>0</v>
      </c>
      <c r="L18">
        <f t="shared" si="0"/>
        <v>0</v>
      </c>
      <c r="M18">
        <f t="shared" si="6"/>
        <v>0</v>
      </c>
      <c r="N18">
        <f t="shared" si="7"/>
        <v>0</v>
      </c>
      <c r="O18">
        <f t="shared" si="8"/>
        <v>0</v>
      </c>
      <c r="P18">
        <f t="shared" si="9"/>
        <v>1</v>
      </c>
      <c r="R18" t="e">
        <f t="shared" si="10"/>
        <v>#N/A</v>
      </c>
      <c r="S18" t="e">
        <f t="shared" si="10"/>
        <v>#N/A</v>
      </c>
      <c r="T18">
        <f>Table2711151923[[#This Row],[Max]]</f>
        <v>0</v>
      </c>
      <c r="U18">
        <f>Table2711151923[[#This Row],[Min]]</f>
        <v>0</v>
      </c>
      <c r="X18" t="e">
        <f>Table1610141822[[#This Row],[Column1]]</f>
        <v>#N/A</v>
      </c>
      <c r="Y18">
        <v>16</v>
      </c>
      <c r="Z18" t="e">
        <f t="shared" si="1"/>
        <v>#N/A</v>
      </c>
      <c r="AA18" t="e">
        <f t="shared" si="2"/>
        <v>#N/A</v>
      </c>
      <c r="AB18" t="e">
        <f t="shared" si="3"/>
        <v>#N/A</v>
      </c>
      <c r="AC18" t="e">
        <f t="shared" si="4"/>
        <v>#N/A</v>
      </c>
      <c r="AD18" t="e">
        <f>VLOOKUP(Table1610141822[[#This Row],['#]],Table2711151923[['#]:[Drop]],16,0)</f>
        <v>#N/A</v>
      </c>
      <c r="AE18">
        <f>COUNTIF($AD$3:AD18,"X")</f>
        <v>0</v>
      </c>
      <c r="AF18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8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I18">
        <v>16</v>
      </c>
      <c r="AJ18" t="e">
        <f t="shared" si="11"/>
        <v>#N/A</v>
      </c>
      <c r="AK18" t="e">
        <f t="shared" si="12"/>
        <v>#N/A</v>
      </c>
      <c r="AM18" s="1">
        <v>7</v>
      </c>
      <c r="AN18" s="1" t="e">
        <f>VLOOKUP(AM18,$AI$3:$AL$18,2,0)</f>
        <v>#N/A</v>
      </c>
      <c r="AO18" s="1" t="e">
        <f>VLOOKUP(AM18,$AI$3:$AL$18,3,0)</f>
        <v>#N/A</v>
      </c>
    </row>
    <row r="19" spans="1:41" x14ac:dyDescent="0.3">
      <c r="A19">
        <v>17</v>
      </c>
      <c r="B19" t="e">
        <f>VLOOKUP('Round 6'!$A19,INDEX(Entry!$E$2:$U$23,1,'Round 6'!$A$1*2-1):'Entry'!$U$33,18-$A$1*2,0)</f>
        <v>#N/A</v>
      </c>
      <c r="C19" t="e">
        <f>VLOOKUP('Round 6'!$A19,INDEX(Entry!$E$2:$U$23,1,'Round 6'!$A$1*2-1):'Entry'!$U$33,19-$A$1*2,0)</f>
        <v>#N/A</v>
      </c>
      <c r="H19">
        <f t="shared" si="5"/>
        <v>0</v>
      </c>
      <c r="L19">
        <f t="shared" si="0"/>
        <v>0</v>
      </c>
      <c r="M19">
        <f t="shared" si="6"/>
        <v>0</v>
      </c>
      <c r="N19">
        <f t="shared" si="7"/>
        <v>0</v>
      </c>
      <c r="O19">
        <f t="shared" si="8"/>
        <v>0</v>
      </c>
      <c r="P19">
        <f t="shared" si="9"/>
        <v>1</v>
      </c>
      <c r="R19" t="e">
        <f t="shared" si="10"/>
        <v>#N/A</v>
      </c>
      <c r="S19" t="e">
        <f t="shared" si="10"/>
        <v>#N/A</v>
      </c>
      <c r="T19">
        <f>Table2711151923[[#This Row],[Max]]</f>
        <v>0</v>
      </c>
      <c r="U19">
        <f>Table2711151923[[#This Row],[Min]]</f>
        <v>0</v>
      </c>
      <c r="X19" t="e">
        <f>Table1610141822[[#This Row],[Column1]]</f>
        <v>#N/A</v>
      </c>
      <c r="Y19">
        <v>17</v>
      </c>
      <c r="Z19" t="e">
        <f t="shared" si="1"/>
        <v>#N/A</v>
      </c>
      <c r="AA19" t="e">
        <f t="shared" si="2"/>
        <v>#N/A</v>
      </c>
      <c r="AB19" t="e">
        <f t="shared" si="3"/>
        <v>#N/A</v>
      </c>
      <c r="AC19" t="e">
        <f t="shared" si="4"/>
        <v>#N/A</v>
      </c>
      <c r="AD19" t="e">
        <f>VLOOKUP(Table1610141822[[#This Row],['#]],Table2711151923[['#]:[Drop]],16,0)</f>
        <v>#N/A</v>
      </c>
      <c r="AE19">
        <f>COUNTIF($AD$3:AD19,"X")</f>
        <v>0</v>
      </c>
      <c r="AF19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19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M19" s="1">
        <v>10</v>
      </c>
      <c r="AN19" s="1" t="e">
        <f>VLOOKUP(AM19,$AI$3:$AL$18,2,0)</f>
        <v>#N/A</v>
      </c>
      <c r="AO19" s="1" t="e">
        <f>VLOOKUP(AM19,$AI$3:$AL$18,3,0)</f>
        <v>#N/A</v>
      </c>
    </row>
    <row r="20" spans="1:41" x14ac:dyDescent="0.3">
      <c r="A20">
        <v>18</v>
      </c>
      <c r="B20" t="e">
        <f>VLOOKUP('Round 6'!$A20,INDEX(Entry!$E$2:$U$23,1,'Round 6'!$A$1*2-1):'Entry'!$U$33,18-$A$1*2,0)</f>
        <v>#N/A</v>
      </c>
      <c r="C20" t="e">
        <f>VLOOKUP('Round 6'!$A20,INDEX(Entry!$E$2:$U$23,1,'Round 6'!$A$1*2-1):'Entry'!$U$33,19-$A$1*2,0)</f>
        <v>#N/A</v>
      </c>
      <c r="H20">
        <f t="shared" si="5"/>
        <v>0</v>
      </c>
      <c r="L20">
        <f t="shared" si="0"/>
        <v>0</v>
      </c>
      <c r="M20">
        <f t="shared" si="6"/>
        <v>0</v>
      </c>
      <c r="N20">
        <f t="shared" si="7"/>
        <v>0</v>
      </c>
      <c r="O20">
        <f t="shared" si="8"/>
        <v>0</v>
      </c>
      <c r="P20">
        <f t="shared" si="9"/>
        <v>1</v>
      </c>
      <c r="R20" t="e">
        <f t="shared" si="10"/>
        <v>#N/A</v>
      </c>
      <c r="S20" t="e">
        <f t="shared" si="10"/>
        <v>#N/A</v>
      </c>
      <c r="T20">
        <f>Table2711151923[[#This Row],[Max]]</f>
        <v>0</v>
      </c>
      <c r="U20">
        <f>Table2711151923[[#This Row],[Min]]</f>
        <v>0</v>
      </c>
      <c r="X20" t="e">
        <f>Table1610141822[[#This Row],[Column1]]</f>
        <v>#N/A</v>
      </c>
      <c r="Y20">
        <v>18</v>
      </c>
      <c r="Z20" t="e">
        <f t="shared" si="1"/>
        <v>#N/A</v>
      </c>
      <c r="AA20" t="e">
        <f t="shared" si="2"/>
        <v>#N/A</v>
      </c>
      <c r="AB20" t="e">
        <f t="shared" si="3"/>
        <v>#N/A</v>
      </c>
      <c r="AC20" t="e">
        <f t="shared" si="4"/>
        <v>#N/A</v>
      </c>
      <c r="AD20" t="e">
        <f>VLOOKUP(Table1610141822[[#This Row],['#]],Table2711151923[['#]:[Drop]],16,0)</f>
        <v>#N/A</v>
      </c>
      <c r="AE20">
        <f>COUNTIF($AD$3:AD20,"X")</f>
        <v>0</v>
      </c>
      <c r="AF20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0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</row>
    <row r="21" spans="1:41" x14ac:dyDescent="0.3">
      <c r="A21">
        <v>19</v>
      </c>
      <c r="B21" t="e">
        <f>VLOOKUP('Round 6'!$A21,INDEX(Entry!$E$2:$U$23,1,'Round 6'!$A$1*2-1):'Entry'!$U$33,18-$A$1*2,0)</f>
        <v>#N/A</v>
      </c>
      <c r="C21" t="e">
        <f>VLOOKUP('Round 6'!$A21,INDEX(Entry!$E$2:$U$23,1,'Round 6'!$A$1*2-1):'Entry'!$U$33,19-$A$1*2,0)</f>
        <v>#N/A</v>
      </c>
      <c r="H21">
        <f t="shared" si="5"/>
        <v>0</v>
      </c>
      <c r="L21">
        <f t="shared" si="0"/>
        <v>0</v>
      </c>
      <c r="M21">
        <f t="shared" si="6"/>
        <v>0</v>
      </c>
      <c r="N21">
        <f t="shared" si="7"/>
        <v>0</v>
      </c>
      <c r="O21">
        <f t="shared" si="8"/>
        <v>0</v>
      </c>
      <c r="P21">
        <f t="shared" si="9"/>
        <v>1</v>
      </c>
      <c r="R21" t="e">
        <f t="shared" si="10"/>
        <v>#N/A</v>
      </c>
      <c r="S21" t="e">
        <f t="shared" si="10"/>
        <v>#N/A</v>
      </c>
      <c r="T21">
        <f>Table2711151923[[#This Row],[Max]]</f>
        <v>0</v>
      </c>
      <c r="U21">
        <f>Table2711151923[[#This Row],[Min]]</f>
        <v>0</v>
      </c>
      <c r="X21" t="e">
        <f>Table1610141822[[#This Row],[Column1]]</f>
        <v>#N/A</v>
      </c>
      <c r="Y21">
        <v>19</v>
      </c>
      <c r="Z21" t="e">
        <f t="shared" si="1"/>
        <v>#N/A</v>
      </c>
      <c r="AA21" t="e">
        <f t="shared" si="2"/>
        <v>#N/A</v>
      </c>
      <c r="AB21" t="e">
        <f t="shared" si="3"/>
        <v>#N/A</v>
      </c>
      <c r="AC21" t="e">
        <f t="shared" si="4"/>
        <v>#N/A</v>
      </c>
      <c r="AD21" t="e">
        <f>VLOOKUP(Table1610141822[[#This Row],['#]],Table2711151923[['#]:[Drop]],16,0)</f>
        <v>#N/A</v>
      </c>
      <c r="AE21">
        <f>COUNTIF($AD$3:AD21,"X")</f>
        <v>0</v>
      </c>
      <c r="AF21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1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M21" s="1">
        <v>3</v>
      </c>
      <c r="AN21" s="1" t="e">
        <f>VLOOKUP(AM21,$AI$3:$AL$18,2,0)</f>
        <v>#N/A</v>
      </c>
      <c r="AO21" s="1" t="e">
        <f>VLOOKUP(AM21,$AI$3:$AL$18,3,0)</f>
        <v>#N/A</v>
      </c>
    </row>
    <row r="22" spans="1:41" x14ac:dyDescent="0.3">
      <c r="A22">
        <v>20</v>
      </c>
      <c r="B22" t="e">
        <f>VLOOKUP('Round 6'!$A22,INDEX(Entry!$E$2:$U$23,1,'Round 6'!$A$1*2-1):'Entry'!$U$33,18-$A$1*2,0)</f>
        <v>#N/A</v>
      </c>
      <c r="C22" t="e">
        <f>VLOOKUP('Round 6'!$A22,INDEX(Entry!$E$2:$U$23,1,'Round 6'!$A$1*2-1):'Entry'!$U$33,19-$A$1*2,0)</f>
        <v>#N/A</v>
      </c>
      <c r="H22">
        <f t="shared" si="5"/>
        <v>0</v>
      </c>
      <c r="L22">
        <f t="shared" si="0"/>
        <v>0</v>
      </c>
      <c r="M22">
        <f t="shared" si="6"/>
        <v>0</v>
      </c>
      <c r="N22">
        <f t="shared" si="7"/>
        <v>0</v>
      </c>
      <c r="O22">
        <f t="shared" si="8"/>
        <v>0</v>
      </c>
      <c r="P22">
        <f t="shared" si="9"/>
        <v>1</v>
      </c>
      <c r="R22" t="e">
        <f t="shared" si="10"/>
        <v>#N/A</v>
      </c>
      <c r="S22" t="e">
        <f t="shared" si="10"/>
        <v>#N/A</v>
      </c>
      <c r="T22">
        <f>Table2711151923[[#This Row],[Max]]</f>
        <v>0</v>
      </c>
      <c r="U22">
        <f>Table2711151923[[#This Row],[Min]]</f>
        <v>0</v>
      </c>
      <c r="X22" t="e">
        <f>Table1610141822[[#This Row],[Column1]]</f>
        <v>#N/A</v>
      </c>
      <c r="Y22">
        <v>20</v>
      </c>
      <c r="Z22" t="e">
        <f t="shared" si="1"/>
        <v>#N/A</v>
      </c>
      <c r="AA22" t="e">
        <f t="shared" si="2"/>
        <v>#N/A</v>
      </c>
      <c r="AB22" t="e">
        <f t="shared" si="3"/>
        <v>#N/A</v>
      </c>
      <c r="AC22" t="e">
        <f t="shared" si="4"/>
        <v>#N/A</v>
      </c>
      <c r="AD22" t="e">
        <f>VLOOKUP(Table1610141822[[#This Row],['#]],Table2711151923[['#]:[Drop]],16,0)</f>
        <v>#N/A</v>
      </c>
      <c r="AE22">
        <f>COUNTIF($AD$3:AD22,"X")</f>
        <v>0</v>
      </c>
      <c r="AF22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2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M22" s="1">
        <v>14</v>
      </c>
      <c r="AN22" s="1" t="e">
        <f>VLOOKUP(AM22,$AI$3:$AL$18,2,0)</f>
        <v>#N/A</v>
      </c>
      <c r="AO22" s="1" t="e">
        <f>VLOOKUP(AM22,$AI$3:$AL$18,3,0)</f>
        <v>#N/A</v>
      </c>
    </row>
    <row r="23" spans="1:41" x14ac:dyDescent="0.3">
      <c r="A23">
        <v>21</v>
      </c>
      <c r="B23" t="e">
        <f>VLOOKUP('Round 6'!$A23,INDEX(Entry!$E$2:$U$23,1,'Round 6'!$A$1*2-1):'Entry'!$U$33,18-$A$1*2,0)</f>
        <v>#N/A</v>
      </c>
      <c r="C23" t="e">
        <f>VLOOKUP('Round 6'!$A23,INDEX(Entry!$E$2:$U$23,1,'Round 6'!$A$1*2-1):'Entry'!$U$33,19-$A$1*2,0)</f>
        <v>#N/A</v>
      </c>
      <c r="H23">
        <f t="shared" si="5"/>
        <v>0</v>
      </c>
      <c r="L23">
        <f t="shared" si="0"/>
        <v>0</v>
      </c>
      <c r="M23">
        <f t="shared" si="6"/>
        <v>0</v>
      </c>
      <c r="N23">
        <f t="shared" si="7"/>
        <v>0</v>
      </c>
      <c r="O23">
        <f t="shared" si="8"/>
        <v>0</v>
      </c>
      <c r="P23">
        <f t="shared" si="9"/>
        <v>1</v>
      </c>
      <c r="R23" t="e">
        <f t="shared" si="10"/>
        <v>#N/A</v>
      </c>
      <c r="S23" t="e">
        <f t="shared" si="10"/>
        <v>#N/A</v>
      </c>
      <c r="T23">
        <f>Table2711151923[[#This Row],[Max]]</f>
        <v>0</v>
      </c>
      <c r="U23">
        <f>Table2711151923[[#This Row],[Min]]</f>
        <v>0</v>
      </c>
      <c r="X23" t="e">
        <f>Table1610141822[[#This Row],[Column1]]</f>
        <v>#N/A</v>
      </c>
      <c r="Y23">
        <v>21</v>
      </c>
      <c r="Z23" t="e">
        <f t="shared" si="1"/>
        <v>#N/A</v>
      </c>
      <c r="AA23" t="e">
        <f t="shared" si="2"/>
        <v>#N/A</v>
      </c>
      <c r="AB23" t="e">
        <f t="shared" si="3"/>
        <v>#N/A</v>
      </c>
      <c r="AC23" t="e">
        <f t="shared" si="4"/>
        <v>#N/A</v>
      </c>
      <c r="AD23" t="e">
        <f>VLOOKUP(Table1610141822[[#This Row],['#]],Table2711151923[['#]:[Drop]],16,0)</f>
        <v>#N/A</v>
      </c>
      <c r="AE23">
        <f>COUNTIF($AD$3:AD23,"X")</f>
        <v>0</v>
      </c>
      <c r="AF23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3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</row>
    <row r="24" spans="1:41" x14ac:dyDescent="0.3">
      <c r="A24">
        <v>22</v>
      </c>
      <c r="B24" t="e">
        <f>VLOOKUP('Round 6'!$A24,INDEX(Entry!$E$2:$U$23,1,'Round 6'!$A$1*2-1):'Entry'!$U$33,18-$A$1*2,0)</f>
        <v>#N/A</v>
      </c>
      <c r="C24" t="e">
        <f>VLOOKUP('Round 6'!$A24,INDEX(Entry!$E$2:$U$23,1,'Round 6'!$A$1*2-1):'Entry'!$U$33,19-$A$1*2,0)</f>
        <v>#N/A</v>
      </c>
      <c r="H24">
        <f t="shared" si="5"/>
        <v>0</v>
      </c>
      <c r="L24">
        <f t="shared" si="0"/>
        <v>0</v>
      </c>
      <c r="M24">
        <f t="shared" si="6"/>
        <v>0</v>
      </c>
      <c r="N24">
        <f t="shared" si="7"/>
        <v>0</v>
      </c>
      <c r="O24">
        <f t="shared" si="8"/>
        <v>0</v>
      </c>
      <c r="P24">
        <f t="shared" si="9"/>
        <v>1</v>
      </c>
      <c r="R24" t="e">
        <f t="shared" si="10"/>
        <v>#N/A</v>
      </c>
      <c r="S24" t="e">
        <f t="shared" si="10"/>
        <v>#N/A</v>
      </c>
      <c r="T24">
        <f>Table2711151923[[#This Row],[Max]]</f>
        <v>0</v>
      </c>
      <c r="U24">
        <f>Table2711151923[[#This Row],[Min]]</f>
        <v>0</v>
      </c>
      <c r="X24" t="e">
        <f>Table1610141822[[#This Row],[Column1]]</f>
        <v>#N/A</v>
      </c>
      <c r="Y24">
        <v>22</v>
      </c>
      <c r="Z24" t="e">
        <f t="shared" si="1"/>
        <v>#N/A</v>
      </c>
      <c r="AA24" t="e">
        <f t="shared" si="2"/>
        <v>#N/A</v>
      </c>
      <c r="AB24" t="e">
        <f t="shared" si="3"/>
        <v>#N/A</v>
      </c>
      <c r="AC24" t="e">
        <f t="shared" si="4"/>
        <v>#N/A</v>
      </c>
      <c r="AD24" t="e">
        <f>VLOOKUP(Table1610141822[[#This Row],['#]],Table2711151923[['#]:[Drop]],16,0)</f>
        <v>#N/A</v>
      </c>
      <c r="AE24">
        <f>COUNTIF($AD$3:AD24,"X")</f>
        <v>0</v>
      </c>
      <c r="AF24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4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M24" s="1">
        <v>6</v>
      </c>
      <c r="AN24" s="1" t="e">
        <f>VLOOKUP(AM24,$AI$3:$AL$18,2,0)</f>
        <v>#N/A</v>
      </c>
      <c r="AO24" s="1" t="e">
        <f>VLOOKUP(AM24,$AI$3:$AL$18,3,0)</f>
        <v>#N/A</v>
      </c>
    </row>
    <row r="25" spans="1:41" x14ac:dyDescent="0.3">
      <c r="A25">
        <v>23</v>
      </c>
      <c r="B25" t="e">
        <f>VLOOKUP('Round 6'!$A25,INDEX(Entry!$E$2:$U$23,1,'Round 6'!$A$1*2-1):'Entry'!$U$33,18-$A$1*2,0)</f>
        <v>#N/A</v>
      </c>
      <c r="C25" t="e">
        <f>VLOOKUP('Round 6'!$A25,INDEX(Entry!$E$2:$U$23,1,'Round 6'!$A$1*2-1):'Entry'!$U$33,19-$A$1*2,0)</f>
        <v>#N/A</v>
      </c>
      <c r="H25">
        <f t="shared" si="5"/>
        <v>0</v>
      </c>
      <c r="L25">
        <f t="shared" si="0"/>
        <v>0</v>
      </c>
      <c r="M25">
        <f t="shared" si="6"/>
        <v>0</v>
      </c>
      <c r="N25">
        <f t="shared" si="7"/>
        <v>0</v>
      </c>
      <c r="O25">
        <f t="shared" si="8"/>
        <v>0</v>
      </c>
      <c r="P25">
        <f t="shared" si="9"/>
        <v>1</v>
      </c>
      <c r="R25" t="e">
        <f t="shared" si="10"/>
        <v>#N/A</v>
      </c>
      <c r="S25" t="e">
        <f t="shared" si="10"/>
        <v>#N/A</v>
      </c>
      <c r="T25">
        <f>Table2711151923[[#This Row],[Max]]</f>
        <v>0</v>
      </c>
      <c r="U25">
        <f>Table2711151923[[#This Row],[Min]]</f>
        <v>0</v>
      </c>
      <c r="X25" t="e">
        <f>Table1610141822[[#This Row],[Column1]]</f>
        <v>#N/A</v>
      </c>
      <c r="Y25">
        <v>23</v>
      </c>
      <c r="Z25" t="e">
        <f t="shared" si="1"/>
        <v>#N/A</v>
      </c>
      <c r="AA25" t="e">
        <f t="shared" si="2"/>
        <v>#N/A</v>
      </c>
      <c r="AB25" t="e">
        <f t="shared" si="3"/>
        <v>#N/A</v>
      </c>
      <c r="AC25" t="e">
        <f t="shared" si="4"/>
        <v>#N/A</v>
      </c>
      <c r="AD25" t="e">
        <f>VLOOKUP(Table1610141822[[#This Row],['#]],Table2711151923[['#]:[Drop]],16,0)</f>
        <v>#N/A</v>
      </c>
      <c r="AE25">
        <f>COUNTIF($AD$3:AD25,"X")</f>
        <v>0</v>
      </c>
      <c r="AF25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5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  <c r="AM25" s="1">
        <v>11</v>
      </c>
      <c r="AN25" s="1" t="e">
        <f>VLOOKUP(AM25,$AI$3:$AL$18,2,0)</f>
        <v>#N/A</v>
      </c>
      <c r="AO25" s="1" t="e">
        <f>VLOOKUP(AM25,$AI$3:$AL$18,3,0)</f>
        <v>#N/A</v>
      </c>
    </row>
    <row r="26" spans="1:41" x14ac:dyDescent="0.3">
      <c r="A26">
        <v>24</v>
      </c>
      <c r="B26" t="e">
        <f>VLOOKUP('Round 6'!$A26,INDEX(Entry!$E$2:$U$23,1,'Round 6'!$A$1*2-1):'Entry'!$U$33,18-$A$1*2,0)</f>
        <v>#N/A</v>
      </c>
      <c r="C26" t="e">
        <f>VLOOKUP('Round 6'!$A26,INDEX(Entry!$E$2:$U$23,1,'Round 6'!$A$1*2-1):'Entry'!$U$33,19-$A$1*2,0)</f>
        <v>#N/A</v>
      </c>
      <c r="H26">
        <f t="shared" si="5"/>
        <v>0</v>
      </c>
      <c r="L26">
        <f t="shared" si="0"/>
        <v>0</v>
      </c>
      <c r="M26">
        <f t="shared" si="6"/>
        <v>0</v>
      </c>
      <c r="N26">
        <f t="shared" si="7"/>
        <v>0</v>
      </c>
      <c r="O26">
        <f t="shared" si="8"/>
        <v>0</v>
      </c>
      <c r="P26">
        <f t="shared" si="9"/>
        <v>1</v>
      </c>
      <c r="R26" t="e">
        <f t="shared" si="10"/>
        <v>#N/A</v>
      </c>
      <c r="S26" t="e">
        <f t="shared" si="10"/>
        <v>#N/A</v>
      </c>
      <c r="T26">
        <f>Table2711151923[[#This Row],[Max]]</f>
        <v>0</v>
      </c>
      <c r="U26">
        <f>Table2711151923[[#This Row],[Min]]</f>
        <v>0</v>
      </c>
      <c r="X26" t="e">
        <f>Table1610141822[[#This Row],[Column1]]</f>
        <v>#N/A</v>
      </c>
      <c r="Y26">
        <v>24</v>
      </c>
      <c r="Z26" t="e">
        <f t="shared" si="1"/>
        <v>#N/A</v>
      </c>
      <c r="AA26" t="e">
        <f t="shared" si="2"/>
        <v>#N/A</v>
      </c>
      <c r="AB26" t="e">
        <f t="shared" si="3"/>
        <v>#N/A</v>
      </c>
      <c r="AC26" t="e">
        <f t="shared" si="4"/>
        <v>#N/A</v>
      </c>
      <c r="AD26" t="e">
        <f>VLOOKUP(Table1610141822[[#This Row],['#]],Table2711151923[['#]:[Drop]],16,0)</f>
        <v>#N/A</v>
      </c>
      <c r="AE26">
        <f>COUNTIF($AD$3:AD26,"X")</f>
        <v>0</v>
      </c>
      <c r="AF26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6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</row>
    <row r="27" spans="1:41" x14ac:dyDescent="0.3">
      <c r="A27">
        <v>25</v>
      </c>
      <c r="B27" t="e">
        <f>VLOOKUP('Round 6'!$A27,INDEX(Entry!$E$2:$U$23,1,'Round 6'!$A$1*2-1):'Entry'!$U$33,18-$A$1*2,0)</f>
        <v>#N/A</v>
      </c>
      <c r="C27" t="e">
        <f>VLOOKUP('Round 6'!$A27,INDEX(Entry!$E$2:$U$23,1,'Round 6'!$A$1*2-1):'Entry'!$U$33,19-$A$1*2,0)</f>
        <v>#N/A</v>
      </c>
      <c r="H27">
        <f t="shared" si="5"/>
        <v>0</v>
      </c>
      <c r="L27">
        <f t="shared" si="0"/>
        <v>0</v>
      </c>
      <c r="M27">
        <f t="shared" si="6"/>
        <v>0</v>
      </c>
      <c r="N27">
        <f t="shared" si="7"/>
        <v>0</v>
      </c>
      <c r="O27">
        <f t="shared" si="8"/>
        <v>0</v>
      </c>
      <c r="P27">
        <f t="shared" si="9"/>
        <v>1</v>
      </c>
      <c r="R27" t="e">
        <f t="shared" si="10"/>
        <v>#N/A</v>
      </c>
      <c r="S27" t="e">
        <f t="shared" si="10"/>
        <v>#N/A</v>
      </c>
      <c r="T27">
        <f>Table2711151923[[#This Row],[Max]]</f>
        <v>0</v>
      </c>
      <c r="U27">
        <f>Table2711151923[[#This Row],[Min]]</f>
        <v>0</v>
      </c>
      <c r="X27" t="e">
        <f>Table1610141822[[#This Row],[Column1]]</f>
        <v>#N/A</v>
      </c>
      <c r="Y27">
        <v>25</v>
      </c>
      <c r="Z27" t="e">
        <f t="shared" si="1"/>
        <v>#N/A</v>
      </c>
      <c r="AA27" t="e">
        <f t="shared" si="2"/>
        <v>#N/A</v>
      </c>
      <c r="AB27" t="e">
        <f t="shared" si="3"/>
        <v>#N/A</v>
      </c>
      <c r="AC27" t="e">
        <f t="shared" si="4"/>
        <v>#N/A</v>
      </c>
      <c r="AD27" t="e">
        <f>VLOOKUP(Table1610141822[[#This Row],['#]],Table2711151923[['#]:[Drop]],16,0)</f>
        <v>#N/A</v>
      </c>
      <c r="AE27">
        <f>COUNTIF($AD$3:AD27,"X")</f>
        <v>0</v>
      </c>
      <c r="AF27" t="e">
        <f>IF(Table1610141822[[#This Row],[Drop Hide]]="X",16+Table1610141822[[#This Row],[Count drop hide]],IF(Table1610141822[[#This Row],[Rank]]-Table1610141822[[#This Row],[Count drop hide]]&gt;16,Table1610141822[[#This Row],[Rank]],Table1610141822[[#This Row],[Rank]]-Table1610141822[[#This Row],[Count drop hide]]))</f>
        <v>#N/A</v>
      </c>
      <c r="AG27" t="e">
        <f>IF(Table1610141822[[#This Row],[Drop Hide]]="X",10,IF(AND(Table1610141822[[#This Row],[Highest Score]]&gt;0,Table1610141822[[#This Row],[Lower Score]]&gt;0),5,IF(AND(Table1610141822[[#This Row],[Highest Score]]&gt;0,Table1610141822[[#This Row],[Lower Score]]=0),2,IF(AND(Table1610141822[[#This Row],[Highest Score]]=0,Table1610141822[[#This Row],[Lower Score]]=0,VLOOKUP(Table1610141822[[#This Row],['#]],Table2711151923[['#]:[Scrut]],3,0)="X"),1,0))))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2C3D34EB-2DBE-4EC9-B37F-89E7AE6CA22D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4F42-23A9-40E0-817C-846142055B6A}">
  <dimension ref="A1:AK40"/>
  <sheetViews>
    <sheetView topLeftCell="A6" workbookViewId="0">
      <selection activeCell="B20" sqref="B20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 t="e">
        <f>VLOOKUP(A2,'Round 6'!$AI$3:$AK$18,2,0)</f>
        <v>#N/A</v>
      </c>
      <c r="C2" s="1" t="e">
        <f>VLOOKUP(A2,'Round 6'!$AI$3:$AK$18,3,0)</f>
        <v>#N/A</v>
      </c>
      <c r="D2" s="1">
        <f>AB3</f>
        <v>0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 t="str">
        <f>IF(AND(D2=0,D4=0),"",IF(D2&gt;D4,A2,A4))</f>
        <v/>
      </c>
      <c r="G3" s="1" t="str">
        <f>IF(AND(D2=0,D4=0),"",IF(D2&gt;D4,B2,B4))</f>
        <v/>
      </c>
      <c r="H3" s="1" t="str">
        <f>IF(AND(D2=0,D4=0),"",IF(D2&gt;D4,C2,C4))</f>
        <v/>
      </c>
      <c r="I3" s="1">
        <f>AB27</f>
        <v>0</v>
      </c>
      <c r="J3" s="2"/>
      <c r="Y3" s="1">
        <f>A2</f>
        <v>1</v>
      </c>
      <c r="Z3" s="1" t="e">
        <f>B2</f>
        <v>#N/A</v>
      </c>
      <c r="AA3" s="1" t="e">
        <f>C2</f>
        <v>#N/A</v>
      </c>
      <c r="AB3" s="4"/>
      <c r="AD3" s="1" t="str">
        <f>K5</f>
        <v/>
      </c>
      <c r="AE3" s="1" t="str">
        <f t="shared" ref="AE3:AF3" si="0">L5</f>
        <v/>
      </c>
      <c r="AF3" s="1" t="str">
        <f t="shared" si="0"/>
        <v/>
      </c>
      <c r="AG3" s="4"/>
    </row>
    <row r="4" spans="1:37" x14ac:dyDescent="0.3">
      <c r="A4" s="1">
        <v>16</v>
      </c>
      <c r="B4" s="1" t="e">
        <f>VLOOKUP(A4,'Round 6'!$AI$3:$AK$18,2,0)</f>
        <v>#N/A</v>
      </c>
      <c r="C4" s="1" t="e">
        <f>VLOOKUP(A4,'Round 6'!$AI$3:$AK$18,3,0)</f>
        <v>#N/A</v>
      </c>
      <c r="D4" s="1">
        <f>AB4</f>
        <v>0</v>
      </c>
      <c r="E4" s="2"/>
      <c r="J4" s="2"/>
      <c r="Y4" s="1">
        <f>A4</f>
        <v>16</v>
      </c>
      <c r="Z4" s="1" t="e">
        <f>B4</f>
        <v>#N/A</v>
      </c>
      <c r="AA4" s="1" t="e">
        <f>C4</f>
        <v>#N/A</v>
      </c>
      <c r="AB4" s="4"/>
      <c r="AD4" s="1" t="str">
        <f>K13</f>
        <v/>
      </c>
      <c r="AE4" s="1" t="str">
        <f t="shared" ref="AE4:AF4" si="1">L13</f>
        <v/>
      </c>
      <c r="AF4" s="1" t="str">
        <f t="shared" si="1"/>
        <v/>
      </c>
      <c r="AG4" s="4"/>
    </row>
    <row r="5" spans="1:37" x14ac:dyDescent="0.3">
      <c r="J5" s="2"/>
      <c r="K5" s="1" t="str">
        <f>IF(AND(I3=0,I7=0),"",IF(I3&gt;I7,F3,F7))</f>
        <v/>
      </c>
      <c r="L5" s="1" t="str">
        <f>IF(AND(I3=0,I7=0),"",IF(I3&gt;I7,G3,G7))</f>
        <v/>
      </c>
      <c r="M5" s="1" t="str">
        <f>IF(AND(I3=0,I7=0),"",IF(I3&gt;I7,H3,H7))</f>
        <v/>
      </c>
      <c r="N5" s="1">
        <f>AG3</f>
        <v>0</v>
      </c>
      <c r="O5" s="2"/>
      <c r="AD5" t="s">
        <v>88</v>
      </c>
    </row>
    <row r="6" spans="1:37" x14ac:dyDescent="0.3">
      <c r="A6" s="1">
        <v>8</v>
      </c>
      <c r="B6" s="1" t="e">
        <f>VLOOKUP(A6,'Round 6'!$AI$3:$AK$18,2,0)</f>
        <v>#N/A</v>
      </c>
      <c r="C6" s="1" t="e">
        <f>VLOOKUP(A6,'Round 6'!$AI$3:$AK$18,3,0)</f>
        <v>#N/A</v>
      </c>
      <c r="D6" s="1">
        <f>AB6</f>
        <v>0</v>
      </c>
      <c r="E6" s="2"/>
      <c r="J6" s="2"/>
      <c r="O6" s="2"/>
      <c r="Y6" s="1">
        <f>A6</f>
        <v>8</v>
      </c>
      <c r="Z6" s="1" t="e">
        <f>B6</f>
        <v>#N/A</v>
      </c>
      <c r="AA6" s="1" t="e">
        <f>C6</f>
        <v>#N/A</v>
      </c>
      <c r="AB6" s="4"/>
      <c r="AD6" s="1" t="str">
        <f>K21</f>
        <v/>
      </c>
      <c r="AE6" s="1" t="str">
        <f t="shared" ref="AE6:AF6" si="2">L21</f>
        <v/>
      </c>
      <c r="AF6" s="1" t="str">
        <f t="shared" si="2"/>
        <v/>
      </c>
      <c r="AG6" s="4"/>
      <c r="AI6" t="str">
        <f>IF(F3=K5,F7,F3)</f>
        <v/>
      </c>
      <c r="AJ6" t="e">
        <f>VLOOKUP(AI6,$A$2:$C$32,2,0)</f>
        <v>#N/A</v>
      </c>
      <c r="AK6" t="e">
        <f>VLOOKUP(AI6,$A$2:$C$32,3,0)</f>
        <v>#N/A</v>
      </c>
    </row>
    <row r="7" spans="1:37" x14ac:dyDescent="0.3">
      <c r="A7" s="3"/>
      <c r="E7" s="2"/>
      <c r="F7" s="1" t="str">
        <f>IF(AND(D6=0,D8=0),"",IF(D6&gt;D8,A6,A8))</f>
        <v/>
      </c>
      <c r="G7" s="1" t="str">
        <f>IF(AND(D6=0,D8=0),"",IF(D6&gt;D8,B6,B8))</f>
        <v/>
      </c>
      <c r="H7" s="1" t="str">
        <f>IF(AND(D6=0,D8=0),"",IF(D6&gt;D8,C6,C8))</f>
        <v/>
      </c>
      <c r="I7" s="1">
        <f>AB28</f>
        <v>0</v>
      </c>
      <c r="J7" s="2"/>
      <c r="O7" s="2"/>
      <c r="Y7" s="1">
        <f>A8</f>
        <v>9</v>
      </c>
      <c r="Z7" s="1" t="e">
        <f>B8</f>
        <v>#N/A</v>
      </c>
      <c r="AA7" s="1" t="e">
        <f>C8</f>
        <v>#N/A</v>
      </c>
      <c r="AB7" s="4"/>
      <c r="AD7" s="1" t="str">
        <f>K29</f>
        <v/>
      </c>
      <c r="AE7" s="1" t="str">
        <f t="shared" ref="AE7:AF7" si="3">L29</f>
        <v/>
      </c>
      <c r="AF7" s="1" t="str">
        <f t="shared" si="3"/>
        <v/>
      </c>
      <c r="AG7" s="4"/>
      <c r="AI7" t="str">
        <f>IF(F11=K13,F15,F11)</f>
        <v/>
      </c>
      <c r="AJ7" t="e">
        <f t="shared" ref="AJ7:AJ18" si="4">VLOOKUP(AI7,$A$2:$C$32,2,0)</f>
        <v>#N/A</v>
      </c>
      <c r="AK7" t="e">
        <f t="shared" ref="AK7:AK18" si="5">VLOOKUP(AI7,$A$2:$C$32,3,0)</f>
        <v>#N/A</v>
      </c>
    </row>
    <row r="8" spans="1:37" x14ac:dyDescent="0.3">
      <c r="A8" s="1">
        <v>9</v>
      </c>
      <c r="B8" s="1" t="e">
        <f>VLOOKUP(A8,'Round 6'!$AI$3:$AK$18,2,0)</f>
        <v>#N/A</v>
      </c>
      <c r="C8" s="1" t="e">
        <f>VLOOKUP(A8,'Round 6'!$AI$3:$AK$18,3,0)</f>
        <v>#N/A</v>
      </c>
      <c r="D8" s="1">
        <f>AB7</f>
        <v>0</v>
      </c>
      <c r="E8" s="2"/>
      <c r="O8" s="2"/>
      <c r="AD8" t="s">
        <v>91</v>
      </c>
      <c r="AI8" t="str">
        <f>IF(F19=K21,F23,F19)</f>
        <v/>
      </c>
      <c r="AJ8" t="e">
        <f t="shared" si="4"/>
        <v>#N/A</v>
      </c>
      <c r="AK8" t="e">
        <f t="shared" si="5"/>
        <v>#N/A</v>
      </c>
    </row>
    <row r="9" spans="1:37" x14ac:dyDescent="0.3">
      <c r="O9" s="2"/>
      <c r="P9" s="1" t="str">
        <f>IF(AND(N5=0,N13=0),"",IF(N5&gt;N13,K5,K13))</f>
        <v/>
      </c>
      <c r="Q9" s="1" t="str">
        <f>IF(AND(N5=0,N13=0),"",IF(N5&gt;N13,L5,L13))</f>
        <v/>
      </c>
      <c r="R9" s="1" t="str">
        <f>IF(AND(N5=0,N13=0),"",IF(N5&gt;N13,M5,M13))</f>
        <v/>
      </c>
      <c r="S9" s="1">
        <f>AG12</f>
        <v>0</v>
      </c>
      <c r="T9" s="2"/>
      <c r="Y9" s="1">
        <f>A10</f>
        <v>4</v>
      </c>
      <c r="Z9" s="1" t="e">
        <f t="shared" ref="Z9:AA9" si="6">B10</f>
        <v>#N/A</v>
      </c>
      <c r="AA9" s="1" t="e">
        <f t="shared" si="6"/>
        <v>#N/A</v>
      </c>
      <c r="AB9" s="4"/>
      <c r="AD9" s="1" t="str">
        <f>IF(K5=P9,K13,K5)</f>
        <v/>
      </c>
      <c r="AE9" s="1" t="str">
        <f>IF(AND(N5=0,N13=0),"",IF(L5=Q9,L13,L5))</f>
        <v/>
      </c>
      <c r="AF9" s="1" t="str">
        <f>IF(AND(N5=0,N13=0),"",IF(M5=R9,M13,M5))</f>
        <v/>
      </c>
      <c r="AG9" s="4"/>
      <c r="AI9" t="str">
        <f>IF(F27=K29,F31,F27)</f>
        <v/>
      </c>
      <c r="AJ9" t="e">
        <f t="shared" si="4"/>
        <v>#N/A</v>
      </c>
      <c r="AK9" t="e">
        <f t="shared" si="5"/>
        <v>#N/A</v>
      </c>
    </row>
    <row r="10" spans="1:37" x14ac:dyDescent="0.3">
      <c r="A10" s="1">
        <v>4</v>
      </c>
      <c r="B10" s="1" t="e">
        <f>VLOOKUP(A10,'Round 6'!$AI$3:$AK$18,2,0)</f>
        <v>#N/A</v>
      </c>
      <c r="C10" s="1" t="e">
        <f>VLOOKUP(A10,'Round 6'!$AI$3:$AK$18,3,0)</f>
        <v>#N/A</v>
      </c>
      <c r="D10" s="1">
        <f>AB9</f>
        <v>0</v>
      </c>
      <c r="E10" s="2"/>
      <c r="O10" s="2"/>
      <c r="T10" s="2"/>
      <c r="Y10" s="1">
        <f>A12</f>
        <v>13</v>
      </c>
      <c r="Z10" s="1" t="e">
        <f t="shared" ref="Z10:AA10" si="7">B12</f>
        <v>#N/A</v>
      </c>
      <c r="AA10" s="1" t="e">
        <f t="shared" si="7"/>
        <v>#N/A</v>
      </c>
      <c r="AB10" s="4"/>
      <c r="AD10" s="1" t="str">
        <f>IF(K21=P25,K29,K21)</f>
        <v/>
      </c>
      <c r="AE10" s="1" t="str">
        <f>IF(AND(N21=0,N29=0),"",IF(L21=Q25,L29,L21))</f>
        <v/>
      </c>
      <c r="AF10" s="1" t="str">
        <f>IF(AND(N21=0,N29=0),"",IF(M21=R25,M29,M21))</f>
        <v/>
      </c>
      <c r="AG10" s="4"/>
    </row>
    <row r="11" spans="1:37" x14ac:dyDescent="0.3">
      <c r="A11" s="3"/>
      <c r="E11" s="2"/>
      <c r="F11" s="1" t="str">
        <f>IF(AND(D10=0,D12=0),"",IF(D10&gt;D12,A10,A12))</f>
        <v/>
      </c>
      <c r="G11" s="1" t="str">
        <f>IF(AND(D10=0,D12=0),"",IF(D10&gt;D12,B10,B12))</f>
        <v/>
      </c>
      <c r="H11" s="1" t="str">
        <f>IF(AND(D10=0,D12=0),"",IF(D10&gt;D12,C10,C12))</f>
        <v/>
      </c>
      <c r="I11" s="1">
        <f>AB30</f>
        <v>0</v>
      </c>
      <c r="J11" s="2"/>
      <c r="O11" s="2"/>
      <c r="T11" s="2"/>
      <c r="AD11" t="s">
        <v>89</v>
      </c>
      <c r="AI11">
        <f>IF(A2=F3,A4,A2)</f>
        <v>1</v>
      </c>
      <c r="AJ11" t="e">
        <f t="shared" si="4"/>
        <v>#N/A</v>
      </c>
      <c r="AK11" t="e">
        <f t="shared" si="5"/>
        <v>#N/A</v>
      </c>
    </row>
    <row r="12" spans="1:37" x14ac:dyDescent="0.3">
      <c r="A12" s="1">
        <v>13</v>
      </c>
      <c r="B12" s="1" t="e">
        <f>VLOOKUP(A12,'Round 6'!$AI$3:$AK$18,2,0)</f>
        <v>#N/A</v>
      </c>
      <c r="C12" s="1" t="e">
        <f>VLOOKUP(A12,'Round 6'!$AI$3:$AK$18,3,0)</f>
        <v>#N/A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 t="e">
        <f t="shared" ref="Z12:AA12" si="8">B14</f>
        <v>#N/A</v>
      </c>
      <c r="AA12" s="1" t="e">
        <f t="shared" si="8"/>
        <v>#N/A</v>
      </c>
      <c r="AB12" s="4"/>
      <c r="AD12" s="1" t="str">
        <f>P9</f>
        <v/>
      </c>
      <c r="AE12" s="1" t="str">
        <f>Q9</f>
        <v/>
      </c>
      <c r="AF12" s="1" t="str">
        <f>R9</f>
        <v/>
      </c>
      <c r="AG12" s="4"/>
      <c r="AI12">
        <f>IF(A6=F7,A8,A6)</f>
        <v>8</v>
      </c>
      <c r="AJ12" t="e">
        <f t="shared" si="4"/>
        <v>#N/A</v>
      </c>
      <c r="AK12" t="e">
        <f t="shared" si="5"/>
        <v>#N/A</v>
      </c>
    </row>
    <row r="13" spans="1:37" x14ac:dyDescent="0.3">
      <c r="J13" s="2"/>
      <c r="K13" s="1" t="str">
        <f>IF(AND(I11=0,I15=0),"",IF(I11&gt;I15,F11,F15))</f>
        <v/>
      </c>
      <c r="L13" s="1" t="str">
        <f>IF(AND(I11=0,I15=0),"",IF(I11&gt;I15,G11,G15))</f>
        <v/>
      </c>
      <c r="M13" s="1" t="str">
        <f>IF(AND(I11=0,I15=0),"",IF(I11&gt;I15,H11,H15))</f>
        <v/>
      </c>
      <c r="N13" s="1">
        <f>AG4</f>
        <v>0</v>
      </c>
      <c r="O13" s="2"/>
      <c r="T13" s="2"/>
      <c r="Y13" s="1">
        <f>A16</f>
        <v>12</v>
      </c>
      <c r="Z13" s="1" t="e">
        <f t="shared" ref="Z13:AA13" si="9">B16</f>
        <v>#N/A</v>
      </c>
      <c r="AA13" s="1" t="e">
        <f t="shared" si="9"/>
        <v>#N/A</v>
      </c>
      <c r="AB13" s="4"/>
      <c r="AD13" s="1" t="str">
        <f>P25</f>
        <v/>
      </c>
      <c r="AE13" s="1" t="str">
        <f>Q25</f>
        <v/>
      </c>
      <c r="AF13" s="1" t="str">
        <f>R25</f>
        <v/>
      </c>
      <c r="AG13" s="4"/>
      <c r="AI13">
        <f>IF(A10=F11,A12,A10)</f>
        <v>4</v>
      </c>
      <c r="AJ13" t="e">
        <f t="shared" si="4"/>
        <v>#N/A</v>
      </c>
      <c r="AK13" t="e">
        <f t="shared" si="5"/>
        <v>#N/A</v>
      </c>
    </row>
    <row r="14" spans="1:37" x14ac:dyDescent="0.3">
      <c r="A14" s="1">
        <v>5</v>
      </c>
      <c r="B14" s="1" t="e">
        <f>VLOOKUP(A14,'Round 6'!$AI$3:$AK$18,2,0)</f>
        <v>#N/A</v>
      </c>
      <c r="C14" s="1" t="e">
        <f>VLOOKUP(A14,'Round 6'!$AI$3:$AK$18,3,0)</f>
        <v>#N/A</v>
      </c>
      <c r="D14" s="1">
        <f>AB12</f>
        <v>0</v>
      </c>
      <c r="E14" s="2"/>
      <c r="J14" s="2"/>
      <c r="T14" s="2"/>
      <c r="AI14">
        <f>IF(A14=F15,A16,A14)</f>
        <v>5</v>
      </c>
      <c r="AJ14" t="e">
        <f t="shared" si="4"/>
        <v>#N/A</v>
      </c>
      <c r="AK14" t="e">
        <f t="shared" si="5"/>
        <v>#N/A</v>
      </c>
    </row>
    <row r="15" spans="1:37" x14ac:dyDescent="0.3">
      <c r="A15" s="3"/>
      <c r="E15" s="2"/>
      <c r="F15" s="1" t="str">
        <f>IF(AND(D14=0,D16=0),"",IF(D14&gt;D16,A14,A16))</f>
        <v/>
      </c>
      <c r="G15" s="1" t="str">
        <f>IF(AND(D14=0,D16=0),"",IF(D14&gt;D16,B14,B16))</f>
        <v/>
      </c>
      <c r="H15" s="1" t="str">
        <f>IF(AND(D14=0,D16=0),"",IF(D14&gt;D16,C14,C16))</f>
        <v/>
      </c>
      <c r="I15" s="1">
        <f>AB31</f>
        <v>0</v>
      </c>
      <c r="J15" s="2"/>
      <c r="T15" s="2"/>
      <c r="Y15" s="1">
        <f>A18</f>
        <v>2</v>
      </c>
      <c r="Z15" s="1" t="e">
        <f t="shared" ref="Z15:AA15" si="10">B18</f>
        <v>#N/A</v>
      </c>
      <c r="AA15" s="1" t="e">
        <f t="shared" si="10"/>
        <v>#N/A</v>
      </c>
      <c r="AB15" s="4"/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2</v>
      </c>
      <c r="AJ15" t="e">
        <f t="shared" si="4"/>
        <v>#N/A</v>
      </c>
      <c r="AK15" t="e">
        <f t="shared" si="5"/>
        <v>#N/A</v>
      </c>
    </row>
    <row r="16" spans="1:37" x14ac:dyDescent="0.3">
      <c r="A16" s="1">
        <v>12</v>
      </c>
      <c r="B16" s="1" t="e">
        <f>VLOOKUP(A16,'Round 6'!$AI$3:$AK$18,2,0)</f>
        <v>#N/A</v>
      </c>
      <c r="C16" s="1" t="e">
        <f>VLOOKUP(A16,'Round 6'!$AI$3:$AK$18,3,0)</f>
        <v>#N/A</v>
      </c>
      <c r="D16" s="1">
        <f>AB13</f>
        <v>0</v>
      </c>
      <c r="E16" s="2"/>
      <c r="T16" s="2"/>
      <c r="Y16" s="1">
        <f>A20</f>
        <v>15</v>
      </c>
      <c r="Z16" s="1" t="e">
        <f t="shared" ref="Z16:AA16" si="11">B20</f>
        <v>#N/A</v>
      </c>
      <c r="AA16" s="1" t="e">
        <f t="shared" si="11"/>
        <v>#N/A</v>
      </c>
      <c r="AB16" s="4"/>
      <c r="AD16">
        <v>1</v>
      </c>
      <c r="AE16" t="str">
        <f>V17</f>
        <v/>
      </c>
      <c r="AF16" t="str">
        <f>W17</f>
        <v/>
      </c>
      <c r="AG16">
        <v>50</v>
      </c>
      <c r="AI16">
        <f>IF(A22=F23,A24,A22)</f>
        <v>7</v>
      </c>
      <c r="AJ16" t="e">
        <f t="shared" si="4"/>
        <v>#N/A</v>
      </c>
      <c r="AK16" t="e">
        <f t="shared" si="5"/>
        <v>#N/A</v>
      </c>
    </row>
    <row r="17" spans="1:37" x14ac:dyDescent="0.3">
      <c r="T17" s="2"/>
      <c r="U17" s="5" t="str">
        <f>IF(AND(S9=0,S25=0),"",IF(S9&gt;S25,P9,P25))</f>
        <v/>
      </c>
      <c r="V17" s="5" t="str">
        <f>IF(AND(S9=0,S25=0),"",IF(S9&gt;S25,Q9,Q25))</f>
        <v/>
      </c>
      <c r="W17" s="5" t="str">
        <f>IF(AND(S9=0,S25=0),"",IF(S9&gt;S25,R9,R25))</f>
        <v/>
      </c>
      <c r="AD17">
        <v>2</v>
      </c>
      <c r="AE17" t="str">
        <f>IF(V17="","",IF(Q9=V17,Q25,Q9))</f>
        <v/>
      </c>
      <c r="AF17" t="str">
        <f>IF(W17="","",IF(R9=W17,R25,R9))</f>
        <v/>
      </c>
      <c r="AG17">
        <v>40</v>
      </c>
      <c r="AI17">
        <f>IF(A26=F27,A28,A26)</f>
        <v>3</v>
      </c>
      <c r="AJ17" t="e">
        <f t="shared" si="4"/>
        <v>#N/A</v>
      </c>
      <c r="AK17" t="e">
        <f t="shared" si="5"/>
        <v>#N/A</v>
      </c>
    </row>
    <row r="18" spans="1:37" x14ac:dyDescent="0.3">
      <c r="A18" s="1">
        <v>2</v>
      </c>
      <c r="B18" s="1" t="e">
        <f>VLOOKUP(A18,'Round 6'!$AI$3:$AK$18,2,0)</f>
        <v>#N/A</v>
      </c>
      <c r="C18" s="1" t="e">
        <f>VLOOKUP(A18,'Round 6'!$AI$3:$AK$18,3,0)</f>
        <v>#N/A</v>
      </c>
      <c r="D18" s="1">
        <f>AB15</f>
        <v>0</v>
      </c>
      <c r="E18" s="2"/>
      <c r="T18" s="2"/>
      <c r="Y18" s="1">
        <f>A22</f>
        <v>7</v>
      </c>
      <c r="Z18" s="1" t="e">
        <f t="shared" ref="Z18:AA18" si="12">B22</f>
        <v>#N/A</v>
      </c>
      <c r="AA18" s="1" t="e">
        <f t="shared" si="12"/>
        <v>#N/A</v>
      </c>
      <c r="AB18" s="4"/>
      <c r="AD18">
        <v>3</v>
      </c>
      <c r="AE18" t="str">
        <f>IF(AG9&gt;AG10,AE9,IF(AG10&gt;AG9,AE10,IF(AD9&lt;AD10,AE9,AE10)))</f>
        <v/>
      </c>
      <c r="AF18" t="str">
        <f>IF(AG9&gt;AG10,AF9,IF(AG10&gt;AG9,AF10,IF(AD9&lt;AD10,AF9,AF10)))</f>
        <v/>
      </c>
      <c r="AG18">
        <v>30</v>
      </c>
      <c r="AI18">
        <f>IF(A30=F31,A32,A30)</f>
        <v>6</v>
      </c>
      <c r="AJ18" t="e">
        <f t="shared" si="4"/>
        <v>#N/A</v>
      </c>
      <c r="AK18" t="e">
        <f t="shared" si="5"/>
        <v>#N/A</v>
      </c>
    </row>
    <row r="19" spans="1:37" x14ac:dyDescent="0.3">
      <c r="A19" s="3"/>
      <c r="E19" s="2"/>
      <c r="F19" s="1" t="str">
        <f>IF(AND(D18=0,D20=0),"",IF(D18&gt;D20,A18,A20))</f>
        <v/>
      </c>
      <c r="G19" s="1" t="str">
        <f>IF(AND(D18=0,D20=0),"",IF(D18&gt;D20,B18,B20))</f>
        <v/>
      </c>
      <c r="H19" s="1" t="str">
        <f>IF(AND(D18=0,D20=0),"",IF(D18&gt;D20,C18,C20))</f>
        <v/>
      </c>
      <c r="I19" s="1">
        <f>AB33</f>
        <v>0</v>
      </c>
      <c r="J19" s="2"/>
      <c r="T19" s="2"/>
      <c r="Y19" s="1">
        <f>A24</f>
        <v>10</v>
      </c>
      <c r="Z19" s="1" t="e">
        <f t="shared" ref="Z19:AA19" si="13">B24</f>
        <v>#N/A</v>
      </c>
      <c r="AA19" s="1" t="e">
        <f t="shared" si="13"/>
        <v>#N/A</v>
      </c>
      <c r="AB19" s="4"/>
      <c r="AD19">
        <v>4</v>
      </c>
      <c r="AE19" t="str">
        <f>IF(AG9&gt;AG10,AE10,IF(AG10&gt;AG9,AE9,IF(AD9&lt;AD10,AE10,AE9)))</f>
        <v/>
      </c>
      <c r="AF19" t="str">
        <f>IF(AG9&gt;AG10,AF10,IF(AG10&gt;AG9,AF9,IF(AD9&lt;AD10,AF10,AF9)))</f>
        <v/>
      </c>
      <c r="AG19">
        <v>25</v>
      </c>
    </row>
    <row r="20" spans="1:37" x14ac:dyDescent="0.3">
      <c r="A20" s="1">
        <v>15</v>
      </c>
      <c r="B20" s="1" t="e">
        <f>VLOOKUP(A20,'Round 6'!$AI$3:$AK$18,2,0)</f>
        <v>#N/A</v>
      </c>
      <c r="C20" s="1" t="e">
        <f>VLOOKUP(A20,'Round 6'!$AI$3:$AK$18,3,0)</f>
        <v>#N/A</v>
      </c>
      <c r="D20" s="1">
        <f>AB16</f>
        <v>0</v>
      </c>
      <c r="E20" s="2"/>
      <c r="J20" s="2"/>
      <c r="T20" s="2"/>
      <c r="AD20">
        <v>5</v>
      </c>
      <c r="AE20" t="str">
        <f>IF(OR($L$5="",$L$13="",$L$21="",$L$29=""),"",VLOOKUP(SMALL($AI$6:$AI$9,1),$AI$6:$AK$9,2,0))</f>
        <v/>
      </c>
      <c r="AF20" t="str">
        <f>IF(OR($L$5="",$L$13="",$L$21="",$L$29=""),"",VLOOKUP(SMALL($AI$6:$AI$9,1),$AI$6:$AK$9,3,0))</f>
        <v/>
      </c>
      <c r="AG20">
        <v>20</v>
      </c>
    </row>
    <row r="21" spans="1:37" x14ac:dyDescent="0.3">
      <c r="J21" s="2"/>
      <c r="K21" s="1" t="str">
        <f>IF(AND(I19=0,I23=0),"",IF(I19&gt;I23,F19,F23))</f>
        <v/>
      </c>
      <c r="L21" s="1" t="str">
        <f>IF(AND(I19=0,I23=0),"",IF(I19&gt;I23,G19,G23))</f>
        <v/>
      </c>
      <c r="M21" s="1" t="str">
        <f>IF(AND(I19=0,I23=0),"",IF(I19&gt;I23,H19,H23))</f>
        <v/>
      </c>
      <c r="N21" s="1">
        <f>AG6</f>
        <v>0</v>
      </c>
      <c r="O21" s="2"/>
      <c r="T21" s="2"/>
      <c r="Y21" s="1">
        <f>A26</f>
        <v>3</v>
      </c>
      <c r="Z21" s="1" t="e">
        <f t="shared" ref="Z21:AA21" si="14">B26</f>
        <v>#N/A</v>
      </c>
      <c r="AA21" s="1" t="e">
        <f t="shared" si="14"/>
        <v>#N/A</v>
      </c>
      <c r="AB21" s="4"/>
      <c r="AD21">
        <v>6</v>
      </c>
      <c r="AE21" t="str">
        <f>IF(OR($L$5="",$L$13="",$L$21="",$L$29=""),"",VLOOKUP(SMALL($AI$6:$AI$9,2),$AI$6:$AK$9,2,0))</f>
        <v/>
      </c>
      <c r="AF21" t="str">
        <f>IF(OR($L$5="",$L$13="",$L$21="",$L$29=""),"",VLOOKUP(SMALL($AI$6:$AI$9,2),$AI$6:$AK$9,3,0))</f>
        <v/>
      </c>
      <c r="AG21">
        <v>20</v>
      </c>
    </row>
    <row r="22" spans="1:37" x14ac:dyDescent="0.3">
      <c r="A22" s="1">
        <v>7</v>
      </c>
      <c r="B22" s="1" t="e">
        <f>VLOOKUP(A22,'Round 6'!$AI$3:$AK$18,2,0)</f>
        <v>#N/A</v>
      </c>
      <c r="C22" s="1" t="e">
        <f>VLOOKUP(A22,'Round 6'!$AI$3:$AK$18,3,0)</f>
        <v>#N/A</v>
      </c>
      <c r="D22" s="1">
        <f>AB18</f>
        <v>0</v>
      </c>
      <c r="E22" s="2"/>
      <c r="J22" s="2"/>
      <c r="O22" s="2"/>
      <c r="T22" s="2"/>
      <c r="Y22" s="1">
        <f>A28</f>
        <v>14</v>
      </c>
      <c r="Z22" s="1" t="e">
        <f t="shared" ref="Z22:AA22" si="15">B28</f>
        <v>#N/A</v>
      </c>
      <c r="AA22" s="1" t="e">
        <f t="shared" si="15"/>
        <v>#N/A</v>
      </c>
      <c r="AB22" s="4"/>
      <c r="AD22">
        <v>7</v>
      </c>
      <c r="AE22" t="str">
        <f>IF(OR($L$5="",$L$13="",$L$21="",$L$29=""),"",VLOOKUP(SMALL($AI$6:$AI$9,3),$AI$6:$AK$9,2,0))</f>
        <v/>
      </c>
      <c r="AF22" t="str">
        <f>IF(OR($L$5="",$L$13="",$L$21="",$L$29=""),"",VLOOKUP(SMALL($AI$6:$AI$9,3),$AI$6:$AK$9,3,0))</f>
        <v/>
      </c>
      <c r="AG22">
        <v>20</v>
      </c>
    </row>
    <row r="23" spans="1:37" x14ac:dyDescent="0.3">
      <c r="A23" s="3"/>
      <c r="E23" s="2"/>
      <c r="F23" s="1" t="str">
        <f>IF(AND(D22=0,D24=0),"",IF(D22&gt;D24,A22,A24))</f>
        <v/>
      </c>
      <c r="G23" s="1" t="str">
        <f>IF(AND(D22=0,D24=0),"",IF(D22&gt;D24,B22,B24))</f>
        <v/>
      </c>
      <c r="H23" s="1" t="str">
        <f>IF(AND(D22=0,D24=0),"",IF(D22&gt;D24,C22,C24))</f>
        <v/>
      </c>
      <c r="I23" s="1">
        <f>AB34</f>
        <v>0</v>
      </c>
      <c r="J23" s="2"/>
      <c r="O23" s="2"/>
      <c r="T23" s="2"/>
      <c r="AD23">
        <v>8</v>
      </c>
      <c r="AE23" t="str">
        <f>IF(OR($L$5="",$L$13="",$L$21="",$L$29=""),"",VLOOKUP(SMALL($AI$6:$AI$9,4),$AI$6:$AK$9,2,0))</f>
        <v/>
      </c>
      <c r="AF23" t="str">
        <f>IF(OR($L$5="",$L$13="",$L$21="",$L$29=""),"",VLOOKUP(SMALL($AI$6:$AI$9,4),$AI$6:$AK$9,3,0))</f>
        <v/>
      </c>
      <c r="AG23">
        <v>20</v>
      </c>
    </row>
    <row r="24" spans="1:37" x14ac:dyDescent="0.3">
      <c r="A24" s="1">
        <v>10</v>
      </c>
      <c r="B24" s="1" t="e">
        <f>VLOOKUP(A24,'Round 6'!$AI$3:$AK$18,2,0)</f>
        <v>#N/A</v>
      </c>
      <c r="C24" s="1" t="e">
        <f>VLOOKUP(A24,'Round 6'!$AI$3:$AK$18,3,0)</f>
        <v>#N/A</v>
      </c>
      <c r="D24" s="1">
        <f>AB19</f>
        <v>0</v>
      </c>
      <c r="E24" s="2"/>
      <c r="O24" s="2"/>
      <c r="T24" s="2"/>
      <c r="Y24" s="1">
        <f>A30</f>
        <v>6</v>
      </c>
      <c r="Z24" s="1" t="e">
        <f t="shared" ref="Z24:AA24" si="16">B30</f>
        <v>#N/A</v>
      </c>
      <c r="AA24" s="1" t="e">
        <f t="shared" si="16"/>
        <v>#N/A</v>
      </c>
      <c r="AB24" s="4"/>
      <c r="AD24">
        <v>9</v>
      </c>
      <c r="AE24" t="str">
        <f>IF(OR($G$3="",$G$7="",$G$11="",$G$15="",$G$19="",$G$23="",$G$27="",$G$31=""),"",VLOOKUP(SMALL($AI$11:$AI$18,1),$AI$11:$AK$18,2,0))</f>
        <v/>
      </c>
      <c r="AF24" t="str">
        <f>IF(OR($G$3="",$G$7="",$G$11="",$G$15="",$G$19="",$G$23="",$G$27="",$G$31=""),"",VLOOKUP(SMALL($AI$11:$AI$18,1),$AI$11:$AK$18,3,0))</f>
        <v/>
      </c>
      <c r="AG24">
        <v>10</v>
      </c>
    </row>
    <row r="25" spans="1:37" x14ac:dyDescent="0.3">
      <c r="O25" s="2"/>
      <c r="P25" s="1" t="str">
        <f>IF(AND(N21=0,N29=0),"",IF(N21&gt;N29,K21,K29))</f>
        <v/>
      </c>
      <c r="Q25" s="1" t="str">
        <f>IF(AND(N21=0,N29=0),"",IF(N21&gt;N29,L21,L29))</f>
        <v/>
      </c>
      <c r="R25" s="1" t="str">
        <f>IF(AND(N21=0,N29=0),"",IF(N21&gt;N29,M21,M29))</f>
        <v/>
      </c>
      <c r="S25" s="1">
        <f>AG13</f>
        <v>0</v>
      </c>
      <c r="T25" s="2"/>
      <c r="Y25" s="1">
        <f>A32</f>
        <v>11</v>
      </c>
      <c r="Z25" s="1" t="e">
        <f t="shared" ref="Z25:AA25" si="17">B32</f>
        <v>#N/A</v>
      </c>
      <c r="AA25" s="1" t="e">
        <f t="shared" si="17"/>
        <v>#N/A</v>
      </c>
      <c r="AB25" s="4"/>
      <c r="AD25">
        <v>10</v>
      </c>
      <c r="AE25" t="str">
        <f>IF(OR($G$3="",$G$7="",$G$11="",$G$15="",$G$19="",$G$23="",$G$27="",$G$31=""),"",VLOOKUP(SMALL($AI$11:$AI$18,2),$AI$11:$AK$18,2,0))</f>
        <v/>
      </c>
      <c r="AF25" t="str">
        <f>IF(OR($G$3="",$G$7="",$G$11="",$G$15="",$G$19="",$G$23="",$G$27="",$G$31=""),"",VLOOKUP(SMALL($AI$11:$AI$18,2),$AI$11:$AK$18,3,0))</f>
        <v/>
      </c>
      <c r="AG25">
        <v>10</v>
      </c>
    </row>
    <row r="26" spans="1:37" x14ac:dyDescent="0.3">
      <c r="A26" s="1">
        <v>3</v>
      </c>
      <c r="B26" s="1" t="e">
        <f>VLOOKUP(A26,'Round 6'!$AI$3:$AK$18,2,0)</f>
        <v>#N/A</v>
      </c>
      <c r="C26" s="1" t="e">
        <f>VLOOKUP(A26,'Round 6'!$AI$3:$AK$18,3,0)</f>
        <v>#N/A</v>
      </c>
      <c r="D26" s="1">
        <f>AB21</f>
        <v>0</v>
      </c>
      <c r="E26" s="2"/>
      <c r="O26" s="2"/>
      <c r="Y26" s="2"/>
      <c r="Z26" s="2"/>
      <c r="AA26" s="2"/>
      <c r="AB26" s="2"/>
      <c r="AD26">
        <v>11</v>
      </c>
      <c r="AE26" t="str">
        <f>IF(OR($G$3="",$G$7="",$G$11="",$G$15="",$G$19="",$G$23="",$G$27="",$G$31=""),"",VLOOKUP(SMALL($AI$11:$AI$18,3),$AI$11:$AK$18,2,0))</f>
        <v/>
      </c>
      <c r="AF26" t="str">
        <f>IF(OR($G$3="",$G$7="",$G$11="",$G$15="",$G$19="",$G$23="",$G$27="",$G$31=""),"",VLOOKUP(SMALL($AI$11:$AI$18,3),$AI$11:$AK$18,3,0))</f>
        <v/>
      </c>
      <c r="AG26">
        <v>10</v>
      </c>
    </row>
    <row r="27" spans="1:37" x14ac:dyDescent="0.3">
      <c r="A27" s="3"/>
      <c r="E27" s="2"/>
      <c r="F27" s="1" t="str">
        <f>IF(AND(D26=0,D28=0),"",IF(D26&gt;D28,A26,A28))</f>
        <v/>
      </c>
      <c r="G27" s="1" t="str">
        <f>IF(AND(D26=0,D28=0),"",IF(D26&gt;D28,B26,B28))</f>
        <v/>
      </c>
      <c r="H27" s="1" t="str">
        <f>IF(AND(D26=0,D28=0),"",IF(D26&gt;D28,C26,C28))</f>
        <v/>
      </c>
      <c r="I27" s="1">
        <f>AB36</f>
        <v>0</v>
      </c>
      <c r="J27" s="2"/>
      <c r="O27" s="2"/>
      <c r="Y27" s="1" t="str">
        <f>F3</f>
        <v/>
      </c>
      <c r="Z27" s="1" t="str">
        <f t="shared" ref="Z27:AA27" si="18">G3</f>
        <v/>
      </c>
      <c r="AA27" s="1" t="str">
        <f t="shared" si="18"/>
        <v/>
      </c>
      <c r="AB27" s="4"/>
      <c r="AD27">
        <v>12</v>
      </c>
      <c r="AE27" t="str">
        <f>IF(OR($G$3="",$G$7="",$G$11="",$G$15="",$G$19="",$G$23="",$G$27="",$G$31=""),"",VLOOKUP(SMALL($AI$11:$AI$18,4),$AI$11:$AK$18,2,0))</f>
        <v/>
      </c>
      <c r="AF27" t="str">
        <f>IF(OR($G$3="",$G$7="",$G$11="",$G$15="",$G$19="",$G$23="",$G$27="",$G$31=""),"",VLOOKUP(SMALL($AI$11:$AI$18,4),$AI$11:$AK$18,3,0))</f>
        <v/>
      </c>
      <c r="AG27">
        <v>10</v>
      </c>
    </row>
    <row r="28" spans="1:37" x14ac:dyDescent="0.3">
      <c r="A28" s="1">
        <v>14</v>
      </c>
      <c r="B28" s="1" t="e">
        <f>VLOOKUP(A28,'Round 6'!$AI$3:$AK$18,2,0)</f>
        <v>#N/A</v>
      </c>
      <c r="C28" s="1" t="e">
        <f>VLOOKUP(A28,'Round 6'!$AI$3:$AK$18,3,0)</f>
        <v>#N/A</v>
      </c>
      <c r="D28" s="1">
        <f>AB22</f>
        <v>0</v>
      </c>
      <c r="E28" s="2"/>
      <c r="J28" s="2"/>
      <c r="O28" s="2"/>
      <c r="Y28" s="1" t="str">
        <f>F7</f>
        <v/>
      </c>
      <c r="Z28" s="1" t="str">
        <f t="shared" ref="Z28:AA28" si="19">G7</f>
        <v/>
      </c>
      <c r="AA28" s="1" t="str">
        <f t="shared" si="19"/>
        <v/>
      </c>
      <c r="AB28" s="4"/>
      <c r="AD28">
        <v>13</v>
      </c>
      <c r="AE28" t="str">
        <f>IF(OR($G$3="",$G$7="",$G$11="",$G$15="",$G$19="",$G$23="",$G$27="",$G$31=""),"",VLOOKUP(SMALL($AI$11:$AI$18,5),$AI$11:$AK$18,2,0))</f>
        <v/>
      </c>
      <c r="AF28" t="str">
        <f>IF(OR($G$3="",$G$7="",$G$11="",$G$15="",$G$19="",$G$23="",$G$27="",$G$31=""),"",VLOOKUP(SMALL($AI$11:$AI$18,5),$AI$11:$AK$18,3,0))</f>
        <v/>
      </c>
      <c r="AG28">
        <v>10</v>
      </c>
    </row>
    <row r="29" spans="1:37" x14ac:dyDescent="0.3">
      <c r="J29" s="2"/>
      <c r="K29" s="1" t="str">
        <f>IF(AND(I27=0,I31=0),"",IF(I27&gt;I31,F27,F31))</f>
        <v/>
      </c>
      <c r="L29" s="1" t="str">
        <f>IF(AND(I27=0,I31=0),"",IF(I27&gt;I31,G27,G31))</f>
        <v/>
      </c>
      <c r="M29" s="1" t="str">
        <f>IF(AND(I27=0,I31=0),"",IF(I27&gt;I31,H27,H31))</f>
        <v/>
      </c>
      <c r="N29" s="1">
        <f>AG7</f>
        <v>0</v>
      </c>
      <c r="O29" s="2"/>
      <c r="AD29">
        <v>14</v>
      </c>
      <c r="AE29" t="str">
        <f>IF(OR($G$3="",$G$7="",$G$11="",$G$15="",$G$19="",$G$23="",$G$27="",$G$31=""),"",VLOOKUP(SMALL($AI$11:$AI$18,6),$AI$11:$AK$18,2,0))</f>
        <v/>
      </c>
      <c r="AF29" t="str">
        <f>IF(OR($G$3="",$G$7="",$G$11="",$G$15="",$G$19="",$G$23="",$G$27="",$G$31=""),"",VLOOKUP(SMALL($AI$11:$AI$18,6),$AI$11:$AK$18,3,0))</f>
        <v/>
      </c>
      <c r="AG29">
        <v>10</v>
      </c>
    </row>
    <row r="30" spans="1:37" x14ac:dyDescent="0.3">
      <c r="A30" s="1">
        <v>6</v>
      </c>
      <c r="B30" s="1" t="e">
        <f>VLOOKUP(A30,'Round 6'!$AI$3:$AK$18,2,0)</f>
        <v>#N/A</v>
      </c>
      <c r="C30" s="1" t="e">
        <f>VLOOKUP(A30,'Round 6'!$AI$3:$AK$18,3,0)</f>
        <v>#N/A</v>
      </c>
      <c r="D30" s="1">
        <f>AB24</f>
        <v>0</v>
      </c>
      <c r="E30" s="2"/>
      <c r="J30" s="2"/>
      <c r="Y30" s="1" t="str">
        <f>F11</f>
        <v/>
      </c>
      <c r="Z30" s="1" t="str">
        <f t="shared" ref="Z30:AA30" si="20">G11</f>
        <v/>
      </c>
      <c r="AA30" s="1" t="str">
        <f t="shared" si="20"/>
        <v/>
      </c>
      <c r="AB30" s="4"/>
      <c r="AD30">
        <v>15</v>
      </c>
      <c r="AE30" t="str">
        <f>IF(OR($G$3="",$G$7="",$G$11="",$G$15="",$G$19="",$G$23="",$G$27="",$G$31=""),"",VLOOKUP(SMALL($AI$11:$AI$18,7),$AI$11:$AK$18,2,0))</f>
        <v/>
      </c>
      <c r="AF30" t="str">
        <f>IF(OR($G$3="",$G$7="",$G$11="",$G$15="",$G$19="",$G$23="",$G$27="",$G$31=""),"",VLOOKUP(SMALL($AI$11:$AI$18,7),$AI$11:$AK$18,3,0))</f>
        <v/>
      </c>
      <c r="AG30">
        <v>10</v>
      </c>
    </row>
    <row r="31" spans="1:37" x14ac:dyDescent="0.3">
      <c r="A31" s="3"/>
      <c r="E31" s="2"/>
      <c r="F31" s="1" t="str">
        <f>IF(AND(D30=0,D32=0),"",IF(D30&gt;D32,A30,A32))</f>
        <v/>
      </c>
      <c r="G31" s="1" t="str">
        <f>IF(AND(D30=0,D32=0),"",IF(D30&gt;D32,B30,B32))</f>
        <v/>
      </c>
      <c r="H31" s="1" t="str">
        <f>IF(AND(D30=0,D32=0),"",IF(D30&gt;D32,C30,C32))</f>
        <v/>
      </c>
      <c r="I31" s="1">
        <f>AB37</f>
        <v>0</v>
      </c>
      <c r="J31" s="2"/>
      <c r="P31" s="1" t="str">
        <f>AD9</f>
        <v/>
      </c>
      <c r="Q31" s="1" t="str">
        <f>AE9</f>
        <v/>
      </c>
      <c r="R31" s="1" t="str">
        <f>AF9</f>
        <v/>
      </c>
      <c r="S31" s="1">
        <f>AG9</f>
        <v>0</v>
      </c>
      <c r="T31" s="2"/>
      <c r="Y31" s="1" t="str">
        <f>F15</f>
        <v/>
      </c>
      <c r="Z31" s="1" t="str">
        <f t="shared" ref="Z31:AA31" si="21">G15</f>
        <v/>
      </c>
      <c r="AA31" s="1" t="str">
        <f t="shared" si="21"/>
        <v/>
      </c>
      <c r="AB31" s="4"/>
      <c r="AD31">
        <v>16</v>
      </c>
      <c r="AE31" t="str">
        <f>IF(OR($G$3="",$G$7="",$G$11="",$G$15="",$G$19="",$G$23="",$G$27="",$G$31=""),"",VLOOKUP(SMALL($AI$11:$AI$18,8),$AI$11:$AK$18,2,0))</f>
        <v/>
      </c>
      <c r="AF31" t="str">
        <f>IF(OR($G$3="",$G$7="",$G$11="",$G$15="",$G$19="",$G$23="",$G$27="",$G$31=""),"",VLOOKUP(SMALL($AI$11:$AI$18,8),$AI$11:$AK$18,3,0))</f>
        <v/>
      </c>
      <c r="AG31">
        <v>10</v>
      </c>
    </row>
    <row r="32" spans="1:37" x14ac:dyDescent="0.3">
      <c r="A32" s="1">
        <v>11</v>
      </c>
      <c r="B32" s="1" t="e">
        <f>VLOOKUP(A32,'Round 6'!$AI$3:$AK$18,2,0)</f>
        <v>#N/A</v>
      </c>
      <c r="C32" s="1" t="e">
        <f>VLOOKUP(A32,'Round 6'!$AI$3:$AK$18,3,0)</f>
        <v>#N/A</v>
      </c>
      <c r="D32" s="1">
        <f>AB25</f>
        <v>0</v>
      </c>
      <c r="E32" s="2"/>
      <c r="T32" s="2"/>
      <c r="U32" s="1"/>
      <c r="V32" s="1" t="str">
        <f>AE18</f>
        <v/>
      </c>
      <c r="W32" s="1" t="str">
        <f>AF18</f>
        <v/>
      </c>
      <c r="AD32">
        <v>17</v>
      </c>
      <c r="AE32" t="e">
        <f>VLOOKUP(Table5913172125[[#This Row],[Final]],'Round 6'!$X$19:$AG$27,3,0)</f>
        <v>#N/A</v>
      </c>
      <c r="AF32" t="e">
        <f>VLOOKUP(Table5913172125[[#This Row],[Final]],'Round 6'!$X$19:$AG$27,4,0)</f>
        <v>#N/A</v>
      </c>
      <c r="AG32" t="e">
        <f>VLOOKUP(Table5913172125[[#This Row],[Final]],'Round 6'!$X$19:$AG$27,10,0)</f>
        <v>#N/A</v>
      </c>
    </row>
    <row r="33" spans="16:33" x14ac:dyDescent="0.3">
      <c r="P33" s="1" t="str">
        <f>AD10</f>
        <v/>
      </c>
      <c r="Q33" s="1" t="str">
        <f>AE10</f>
        <v/>
      </c>
      <c r="R33" s="1" t="str">
        <f>AF10</f>
        <v/>
      </c>
      <c r="S33" s="1">
        <f>AG10</f>
        <v>0</v>
      </c>
      <c r="T33" s="2"/>
      <c r="Y33" s="1" t="str">
        <f>F19</f>
        <v/>
      </c>
      <c r="Z33" s="1" t="str">
        <f>G19</f>
        <v/>
      </c>
      <c r="AA33" s="1" t="str">
        <f>H19</f>
        <v/>
      </c>
      <c r="AB33" s="4"/>
      <c r="AD33">
        <v>18</v>
      </c>
      <c r="AE33" t="e">
        <f>VLOOKUP(Table5913172125[[#This Row],[Final]],'Round 6'!$X$19:$AG$27,3,0)</f>
        <v>#N/A</v>
      </c>
      <c r="AF33" t="e">
        <f>VLOOKUP(Table5913172125[[#This Row],[Final]],'Round 6'!$X$19:$AG$27,4,0)</f>
        <v>#N/A</v>
      </c>
      <c r="AG33" t="e">
        <f>VLOOKUP(Table5913172125[[#This Row],[Final]],'Round 6'!$X$19:$AG$27,10,0)</f>
        <v>#N/A</v>
      </c>
    </row>
    <row r="34" spans="16:33" x14ac:dyDescent="0.3">
      <c r="Y34" s="1" t="str">
        <f>F23</f>
        <v/>
      </c>
      <c r="Z34" s="1" t="str">
        <f>G23</f>
        <v/>
      </c>
      <c r="AA34" s="1" t="str">
        <f>H23</f>
        <v/>
      </c>
      <c r="AB34" s="4"/>
      <c r="AD34">
        <v>19</v>
      </c>
      <c r="AE34" t="e">
        <f>VLOOKUP(Table5913172125[[#This Row],[Final]],'Round 6'!$X$19:$AG$27,3,0)</f>
        <v>#N/A</v>
      </c>
      <c r="AF34" t="e">
        <f>VLOOKUP(Table5913172125[[#This Row],[Final]],'Round 6'!$X$19:$AG$27,4,0)</f>
        <v>#N/A</v>
      </c>
      <c r="AG34" t="e">
        <f>VLOOKUP(Table5913172125[[#This Row],[Final]],'Round 6'!$X$19:$AG$27,10,0)</f>
        <v>#N/A</v>
      </c>
    </row>
    <row r="35" spans="16:33" x14ac:dyDescent="0.3">
      <c r="AD35">
        <v>20</v>
      </c>
      <c r="AE35" t="e">
        <f>VLOOKUP(Table5913172125[[#This Row],[Final]],'Round 6'!$X$19:$AG$27,3,0)</f>
        <v>#N/A</v>
      </c>
      <c r="AF35" t="e">
        <f>VLOOKUP(Table5913172125[[#This Row],[Final]],'Round 6'!$X$19:$AG$27,4,0)</f>
        <v>#N/A</v>
      </c>
      <c r="AG35" t="e">
        <f>VLOOKUP(Table5913172125[[#This Row],[Final]],'Round 6'!$X$19:$AG$27,10,0)</f>
        <v>#N/A</v>
      </c>
    </row>
    <row r="36" spans="16:33" x14ac:dyDescent="0.3">
      <c r="Y36" s="1" t="str">
        <f>F27</f>
        <v/>
      </c>
      <c r="Z36" s="1" t="str">
        <f>G27</f>
        <v/>
      </c>
      <c r="AA36" s="1" t="str">
        <f>H27</f>
        <v/>
      </c>
      <c r="AB36" s="4"/>
      <c r="AD36">
        <v>21</v>
      </c>
      <c r="AE36" t="e">
        <f>VLOOKUP(Table5913172125[[#This Row],[Final]],'Round 6'!$X$19:$AG$27,3,0)</f>
        <v>#N/A</v>
      </c>
      <c r="AF36" t="e">
        <f>VLOOKUP(Table5913172125[[#This Row],[Final]],'Round 6'!$X$19:$AG$27,4,0)</f>
        <v>#N/A</v>
      </c>
      <c r="AG36" t="e">
        <f>VLOOKUP(Table5913172125[[#This Row],[Final]],'Round 6'!$X$19:$AG$27,10,0)</f>
        <v>#N/A</v>
      </c>
    </row>
    <row r="37" spans="16:33" x14ac:dyDescent="0.3">
      <c r="Y37" s="1" t="str">
        <f>F31</f>
        <v/>
      </c>
      <c r="Z37" s="1" t="str">
        <f>G31</f>
        <v/>
      </c>
      <c r="AA37" s="1" t="str">
        <f>H31</f>
        <v/>
      </c>
      <c r="AB37" s="4"/>
      <c r="AD37">
        <v>22</v>
      </c>
      <c r="AE37" t="e">
        <f>VLOOKUP(Table5913172125[[#This Row],[Final]],'Round 6'!$X$19:$AG$27,3,0)</f>
        <v>#N/A</v>
      </c>
      <c r="AF37" t="e">
        <f>VLOOKUP(Table5913172125[[#This Row],[Final]],'Round 6'!$X$19:$AG$27,4,0)</f>
        <v>#N/A</v>
      </c>
      <c r="AG37" t="e">
        <f>VLOOKUP(Table5913172125[[#This Row],[Final]],'Round 6'!$X$19:$AG$27,10,0)</f>
        <v>#N/A</v>
      </c>
    </row>
    <row r="38" spans="16:33" x14ac:dyDescent="0.3">
      <c r="AD38">
        <v>23</v>
      </c>
      <c r="AE38" t="e">
        <f>VLOOKUP(Table5913172125[[#This Row],[Final]],'Round 6'!$X$19:$AG$27,3,0)</f>
        <v>#N/A</v>
      </c>
      <c r="AF38" t="e">
        <f>VLOOKUP(Table5913172125[[#This Row],[Final]],'Round 6'!$X$19:$AG$27,4,0)</f>
        <v>#N/A</v>
      </c>
      <c r="AG38" t="e">
        <f>VLOOKUP(Table5913172125[[#This Row],[Final]],'Round 6'!$X$19:$AG$27,10,0)</f>
        <v>#N/A</v>
      </c>
    </row>
    <row r="39" spans="16:33" x14ac:dyDescent="0.3">
      <c r="AD39">
        <v>24</v>
      </c>
      <c r="AE39" t="e">
        <f>VLOOKUP(Table5913172125[[#This Row],[Final]],'Round 6'!$X$19:$AG$27,3,0)</f>
        <v>#N/A</v>
      </c>
      <c r="AF39" t="e">
        <f>VLOOKUP(Table5913172125[[#This Row],[Final]],'Round 6'!$X$19:$AG$27,4,0)</f>
        <v>#N/A</v>
      </c>
      <c r="AG39" t="e">
        <f>VLOOKUP(Table5913172125[[#This Row],[Final]],'Round 6'!$X$19:$AG$27,10,0)</f>
        <v>#N/A</v>
      </c>
    </row>
    <row r="40" spans="16:33" x14ac:dyDescent="0.3">
      <c r="AD40">
        <v>25</v>
      </c>
      <c r="AE40" t="e">
        <f>VLOOKUP(Table5913172125[[#This Row],[Final]],'Round 6'!$X$19:$AG$27,3,0)</f>
        <v>#N/A</v>
      </c>
      <c r="AF40" t="e">
        <f>VLOOKUP(Table5913172125[[#This Row],[Final]],'Round 6'!$X$19:$AG$27,4,0)</f>
        <v>#N/A</v>
      </c>
      <c r="AG40" t="e">
        <f>VLOOKUP(Table5913172125[[#This Row],[Final]],'Round 6'!$X$19:$AG$27,10,0)</f>
        <v>#N/A</v>
      </c>
    </row>
  </sheetData>
  <sheetProtection sheet="1" objects="1" scenarios="1"/>
  <conditionalFormatting sqref="A2:D2">
    <cfRule type="expression" dxfId="521" priority="132">
      <formula>$D2&gt;$D4</formula>
    </cfRule>
    <cfRule type="expression" dxfId="520" priority="130">
      <formula>$D2&lt;$D4</formula>
    </cfRule>
    <cfRule type="expression" dxfId="519" priority="129">
      <formula>AND($D2=$D4,$A2&lt;$A4)</formula>
    </cfRule>
  </conditionalFormatting>
  <conditionalFormatting sqref="A4:D4">
    <cfRule type="expression" dxfId="518" priority="128">
      <formula>$D4&lt;$D2</formula>
    </cfRule>
    <cfRule type="expression" dxfId="517" priority="131">
      <formula>$D4&gt;$D2</formula>
    </cfRule>
    <cfRule type="expression" dxfId="516" priority="127">
      <formula>AND($D4=$D2,$A4&lt;$A2)</formula>
    </cfRule>
  </conditionalFormatting>
  <conditionalFormatting sqref="A6:D6 A10:D10 A14:D14 A18:D18 A22:D22 A26:D26 A30:D30">
    <cfRule type="expression" dxfId="515" priority="101">
      <formula>$D6&lt;$D8</formula>
    </cfRule>
    <cfRule type="expression" dxfId="514" priority="100">
      <formula>AND($D6=$D8,$A6&lt;$A8)</formula>
    </cfRule>
    <cfRule type="expression" dxfId="513" priority="102">
      <formula>$D6&gt;$D8</formula>
    </cfRule>
  </conditionalFormatting>
  <conditionalFormatting sqref="A8:D8 A12:D12 A16:D16 A20:D20 A24:D24 A28:D28 A32:D32">
    <cfRule type="expression" dxfId="512" priority="99">
      <formula>$D8&gt;$D6</formula>
    </cfRule>
    <cfRule type="expression" dxfId="511" priority="97">
      <formula>AND($D8=$D6,$A8&lt;$A6)</formula>
    </cfRule>
    <cfRule type="expression" dxfId="510" priority="98">
      <formula>$D8&lt;$D6</formula>
    </cfRule>
  </conditionalFormatting>
  <conditionalFormatting sqref="F3:I3">
    <cfRule type="expression" dxfId="509" priority="126">
      <formula>$I3&gt;$I7</formula>
    </cfRule>
    <cfRule type="expression" dxfId="508" priority="125">
      <formula>$I3&lt;$I7</formula>
    </cfRule>
    <cfRule type="expression" dxfId="507" priority="124">
      <formula>AND($I3=$I7,$F3&lt;$F7)</formula>
    </cfRule>
  </conditionalFormatting>
  <conditionalFormatting sqref="F7:I7">
    <cfRule type="expression" dxfId="506" priority="120">
      <formula>$I7&gt;$I3</formula>
    </cfRule>
    <cfRule type="expression" dxfId="505" priority="119">
      <formula>$I7&lt;$I3</formula>
    </cfRule>
    <cfRule type="expression" dxfId="504" priority="118">
      <formula>AND($I7=$I3,$F7&lt;$F3)</formula>
    </cfRule>
  </conditionalFormatting>
  <conditionalFormatting sqref="F11:I11 F19:I19 F27:I27">
    <cfRule type="expression" dxfId="503" priority="121">
      <formula>AND($I11=$I15,$F11&lt;$F15)</formula>
    </cfRule>
    <cfRule type="expression" dxfId="502" priority="123">
      <formula>$I11&gt;$I15</formula>
    </cfRule>
    <cfRule type="expression" dxfId="501" priority="122">
      <formula>$I11&lt;$I15</formula>
    </cfRule>
  </conditionalFormatting>
  <conditionalFormatting sqref="F15:I15 F23:I23 F31:I31">
    <cfRule type="expression" dxfId="500" priority="116">
      <formula>$I15&lt;$I11</formula>
    </cfRule>
    <cfRule type="expression" dxfId="499" priority="117">
      <formula>$I15&gt;$I11</formula>
    </cfRule>
    <cfRule type="expression" dxfId="498" priority="115">
      <formula>AND($I15=$I11,$F15&lt;$F11)</formula>
    </cfRule>
  </conditionalFormatting>
  <conditionalFormatting sqref="K5:N5">
    <cfRule type="expression" dxfId="497" priority="114">
      <formula>$N5&gt;$N13</formula>
    </cfRule>
    <cfRule type="expression" dxfId="496" priority="113">
      <formula>$N5&lt;$N13</formula>
    </cfRule>
    <cfRule type="expression" dxfId="495" priority="112">
      <formula>AND($N5=$N13,$K5&lt;$K13)</formula>
    </cfRule>
  </conditionalFormatting>
  <conditionalFormatting sqref="K13:N13">
    <cfRule type="expression" dxfId="494" priority="106">
      <formula>AND($N13=$N5,$K13&lt;$K5)</formula>
    </cfRule>
    <cfRule type="expression" dxfId="493" priority="108">
      <formula>$N13&gt;$N5</formula>
    </cfRule>
    <cfRule type="expression" dxfId="492" priority="107">
      <formula>$N13&lt;$N5</formula>
    </cfRule>
  </conditionalFormatting>
  <conditionalFormatting sqref="K21:N21">
    <cfRule type="expression" dxfId="491" priority="109">
      <formula>AND($N21=$N29,$K21&lt;$K29)</formula>
    </cfRule>
    <cfRule type="expression" dxfId="490" priority="111">
      <formula>$N21&gt;$N29</formula>
    </cfRule>
    <cfRule type="expression" dxfId="489" priority="110">
      <formula>$N21&lt;$N29</formula>
    </cfRule>
  </conditionalFormatting>
  <conditionalFormatting sqref="K29:N29">
    <cfRule type="expression" dxfId="488" priority="105">
      <formula>$N29&gt;$N21</formula>
    </cfRule>
    <cfRule type="expression" dxfId="487" priority="103">
      <formula>AND($N29=$N21,$K29&lt;$K21)</formula>
    </cfRule>
    <cfRule type="expression" dxfId="486" priority="104">
      <formula>$N29&lt;$N21</formula>
    </cfRule>
  </conditionalFormatting>
  <conditionalFormatting sqref="P9:S9">
    <cfRule type="expression" dxfId="485" priority="96">
      <formula>$S9&gt;$S25</formula>
    </cfRule>
    <cfRule type="expression" dxfId="484" priority="95">
      <formula>$S9&lt;$S25</formula>
    </cfRule>
    <cfRule type="expression" dxfId="483" priority="94">
      <formula>AND($S9=$S25,$P9&lt;$P25)</formula>
    </cfRule>
  </conditionalFormatting>
  <conditionalFormatting sqref="P25:S25">
    <cfRule type="expression" dxfId="482" priority="93">
      <formula>$S25&gt;$S9</formula>
    </cfRule>
    <cfRule type="expression" dxfId="481" priority="92">
      <formula>$S25&lt;$S9</formula>
    </cfRule>
    <cfRule type="expression" dxfId="480" priority="91">
      <formula>AND($S25=$S9,$P25&lt;$P9)</formula>
    </cfRule>
  </conditionalFormatting>
  <conditionalFormatting sqref="Y3:AB3">
    <cfRule type="expression" dxfId="479" priority="90">
      <formula>AND($AB3=$AB4,$Y3&lt;$Y4)</formula>
    </cfRule>
    <cfRule type="expression" dxfId="478" priority="89">
      <formula>$AB3&gt;$AB4</formula>
    </cfRule>
    <cfRule type="expression" dxfId="477" priority="88">
      <formula>$AB3&lt;$AB4</formula>
    </cfRule>
  </conditionalFormatting>
  <conditionalFormatting sqref="Y4:AB4">
    <cfRule type="expression" dxfId="476" priority="87">
      <formula>AND($AB4=$AB3,$Y4&lt;$Y3)</formula>
    </cfRule>
    <cfRule type="expression" dxfId="475" priority="86">
      <formula>$AB4&gt;$AB3</formula>
    </cfRule>
    <cfRule type="expression" dxfId="474" priority="85">
      <formula>$AB4&lt;$AB3</formula>
    </cfRule>
  </conditionalFormatting>
  <conditionalFormatting sqref="Y6:AB6">
    <cfRule type="expression" dxfId="473" priority="83">
      <formula>$AB6&gt;$AB7</formula>
    </cfRule>
    <cfRule type="expression" dxfId="472" priority="84">
      <formula>AND($AB6=$AB7,$Y6&lt;$Y7)</formula>
    </cfRule>
    <cfRule type="expression" dxfId="471" priority="82">
      <formula>$AB6&lt;$AB7</formula>
    </cfRule>
  </conditionalFormatting>
  <conditionalFormatting sqref="Y7:AB7">
    <cfRule type="expression" dxfId="470" priority="81">
      <formula>AND($AB7=$AB6,$Y7&lt;$Y6)</formula>
    </cfRule>
    <cfRule type="expression" dxfId="469" priority="80">
      <formula>$AB7&gt;$AB6</formula>
    </cfRule>
    <cfRule type="expression" dxfId="468" priority="79">
      <formula>$AB7&lt;$AB6</formula>
    </cfRule>
  </conditionalFormatting>
  <conditionalFormatting sqref="Y9:AB9">
    <cfRule type="expression" dxfId="467" priority="78">
      <formula>AND($AB9=$AB10,$Y9&lt;$Y10)</formula>
    </cfRule>
    <cfRule type="expression" dxfId="466" priority="77">
      <formula>$AB9&gt;$AB10</formula>
    </cfRule>
    <cfRule type="expression" dxfId="465" priority="76">
      <formula>$AB9&lt;$AB10</formula>
    </cfRule>
  </conditionalFormatting>
  <conditionalFormatting sqref="Y10:AB10">
    <cfRule type="expression" dxfId="464" priority="75">
      <formula>AND($AB10=$AB9,$Y10&lt;$Y9)</formula>
    </cfRule>
    <cfRule type="expression" dxfId="463" priority="74">
      <formula>$AB10&gt;$AB9</formula>
    </cfRule>
    <cfRule type="expression" dxfId="462" priority="73">
      <formula>$AB10&lt;$AB9</formula>
    </cfRule>
  </conditionalFormatting>
  <conditionalFormatting sqref="Y12:AB12">
    <cfRule type="expression" dxfId="461" priority="72">
      <formula>AND($AB12=$AB13,$Y12&lt;$Y13)</formula>
    </cfRule>
    <cfRule type="expression" dxfId="460" priority="70">
      <formula>$AB12&lt;$AB13</formula>
    </cfRule>
    <cfRule type="expression" dxfId="459" priority="71">
      <formula>$AB12&gt;$AB13</formula>
    </cfRule>
  </conditionalFormatting>
  <conditionalFormatting sqref="Y13:AB13">
    <cfRule type="expression" dxfId="458" priority="67">
      <formula>$AB13&lt;$AB12</formula>
    </cfRule>
    <cfRule type="expression" dxfId="457" priority="68">
      <formula>$AB13&gt;$AB12</formula>
    </cfRule>
    <cfRule type="expression" dxfId="456" priority="69">
      <formula>AND($AB13=$AB12,$Y13&lt;$Y12)</formula>
    </cfRule>
  </conditionalFormatting>
  <conditionalFormatting sqref="Y15:AB15">
    <cfRule type="expression" dxfId="455" priority="66">
      <formula>AND($AB15=$AB16,$Y15&lt;$Y16)</formula>
    </cfRule>
    <cfRule type="expression" dxfId="454" priority="65">
      <formula>$AB15&gt;$AB16</formula>
    </cfRule>
    <cfRule type="expression" dxfId="453" priority="64">
      <formula>$AB15&lt;$AB16</formula>
    </cfRule>
  </conditionalFormatting>
  <conditionalFormatting sqref="Y16:AB16">
    <cfRule type="expression" dxfId="452" priority="61">
      <formula>$AB16&lt;$AB15</formula>
    </cfRule>
    <cfRule type="expression" dxfId="451" priority="63">
      <formula>AND($AB16=$AB15,$Y16&lt;$Y15)</formula>
    </cfRule>
    <cfRule type="expression" dxfId="450" priority="62">
      <formula>$AB16&gt;$AB15</formula>
    </cfRule>
  </conditionalFormatting>
  <conditionalFormatting sqref="Y18:AB18">
    <cfRule type="expression" dxfId="449" priority="60">
      <formula>AND($AB18=$AB19,$Y18&lt;$Y19)</formula>
    </cfRule>
    <cfRule type="expression" dxfId="448" priority="59">
      <formula>$AB18&gt;$AB19</formula>
    </cfRule>
    <cfRule type="expression" dxfId="447" priority="58">
      <formula>$AB18&lt;$AB19</formula>
    </cfRule>
  </conditionalFormatting>
  <conditionalFormatting sqref="Y19:AB19">
    <cfRule type="expression" dxfId="446" priority="57">
      <formula>AND($AB19=$AB18,$Y19&lt;$Y18)</formula>
    </cfRule>
    <cfRule type="expression" dxfId="445" priority="56">
      <formula>$AB19&gt;$AB18</formula>
    </cfRule>
    <cfRule type="expression" dxfId="444" priority="55">
      <formula>$AB19&lt;$AB18</formula>
    </cfRule>
  </conditionalFormatting>
  <conditionalFormatting sqref="Y21:AB21">
    <cfRule type="expression" dxfId="443" priority="54">
      <formula>AND($AB21=$AB22,$Y21&lt;$Y22)</formula>
    </cfRule>
    <cfRule type="expression" dxfId="442" priority="53">
      <formula>$AB21&gt;$AB22</formula>
    </cfRule>
    <cfRule type="expression" dxfId="441" priority="52">
      <formula>$AB21&lt;$AB22</formula>
    </cfRule>
  </conditionalFormatting>
  <conditionalFormatting sqref="Y22:AB22">
    <cfRule type="expression" dxfId="440" priority="51">
      <formula>AND($AB22=$AB21,$Y22&lt;$Y21)</formula>
    </cfRule>
    <cfRule type="expression" dxfId="439" priority="50">
      <formula>$AB22&gt;$AB21</formula>
    </cfRule>
    <cfRule type="expression" dxfId="438" priority="49">
      <formula>$AB22&lt;$AB21</formula>
    </cfRule>
  </conditionalFormatting>
  <conditionalFormatting sqref="Y24:AB24">
    <cfRule type="expression" dxfId="437" priority="48">
      <formula>AND($AB24=$AB25,$Y24&lt;$Y25)</formula>
    </cfRule>
    <cfRule type="expression" dxfId="436" priority="47">
      <formula>$AB24&gt;$AB25</formula>
    </cfRule>
    <cfRule type="expression" dxfId="435" priority="46">
      <formula>$AB24&lt;$AB25</formula>
    </cfRule>
  </conditionalFormatting>
  <conditionalFormatting sqref="Y25:AB25">
    <cfRule type="expression" dxfId="434" priority="45">
      <formula>AND($AB25=$AB24,$Y25&lt;$Y24)</formula>
    </cfRule>
    <cfRule type="expression" dxfId="433" priority="44">
      <formula>$AB25&gt;$AB24</formula>
    </cfRule>
    <cfRule type="expression" dxfId="432" priority="43">
      <formula>$AB25&lt;$AB24</formula>
    </cfRule>
  </conditionalFormatting>
  <conditionalFormatting sqref="Y27:AB27">
    <cfRule type="expression" dxfId="431" priority="42">
      <formula>AND($AB27=$AB28,$Y27&lt;$Y28)</formula>
    </cfRule>
    <cfRule type="expression" dxfId="430" priority="41">
      <formula>$AB27&gt;$AB28</formula>
    </cfRule>
    <cfRule type="expression" dxfId="429" priority="40">
      <formula>$AB27&lt;$AB28</formula>
    </cfRule>
  </conditionalFormatting>
  <conditionalFormatting sqref="Y28:AB28">
    <cfRule type="expression" dxfId="428" priority="39">
      <formula>AND($AB28=$AB27,$Y28&lt;$Y27)</formula>
    </cfRule>
    <cfRule type="expression" dxfId="427" priority="38">
      <formula>$AB28&gt;$AB27</formula>
    </cfRule>
    <cfRule type="expression" dxfId="426" priority="37">
      <formula>$AB28&lt;$AB27</formula>
    </cfRule>
  </conditionalFormatting>
  <conditionalFormatting sqref="Y30:AB30">
    <cfRule type="expression" dxfId="425" priority="36">
      <formula>AND($AB30=$AB31,$Y30&lt;$Y31)</formula>
    </cfRule>
    <cfRule type="expression" dxfId="424" priority="35">
      <formula>$AB30&gt;$AB31</formula>
    </cfRule>
    <cfRule type="expression" dxfId="423" priority="34">
      <formula>$AB30&lt;$AB31</formula>
    </cfRule>
  </conditionalFormatting>
  <conditionalFormatting sqref="Y31:AB31">
    <cfRule type="expression" dxfId="422" priority="33">
      <formula>AND($AB31=$AB30,$Y31&lt;$Y30)</formula>
    </cfRule>
    <cfRule type="expression" dxfId="421" priority="32">
      <formula>$AB31&gt;$AB30</formula>
    </cfRule>
    <cfRule type="expression" dxfId="420" priority="31">
      <formula>$AB31&lt;$AB30</formula>
    </cfRule>
  </conditionalFormatting>
  <conditionalFormatting sqref="Y33:AB33">
    <cfRule type="expression" dxfId="419" priority="30">
      <formula>AND($AB33=$AB34,$Y33&lt;$Y34)</formula>
    </cfRule>
    <cfRule type="expression" dxfId="418" priority="29">
      <formula>$AB33&gt;$AB34</formula>
    </cfRule>
    <cfRule type="expression" dxfId="417" priority="28">
      <formula>$AB33&lt;$AB34</formula>
    </cfRule>
  </conditionalFormatting>
  <conditionalFormatting sqref="Y34:AB34">
    <cfRule type="expression" dxfId="416" priority="27">
      <formula>AND($AB34=$AB33,$Y34&lt;$Y33)</formula>
    </cfRule>
    <cfRule type="expression" dxfId="415" priority="26">
      <formula>$AB34&gt;$AB33</formula>
    </cfRule>
    <cfRule type="expression" dxfId="414" priority="25">
      <formula>$AB34&lt;$AB33</formula>
    </cfRule>
  </conditionalFormatting>
  <conditionalFormatting sqref="Y36:AB36">
    <cfRule type="expression" dxfId="413" priority="24">
      <formula>AND($AB36=$AB37,$Y36&lt;$Y37)</formula>
    </cfRule>
    <cfRule type="expression" dxfId="412" priority="23">
      <formula>$AB36&gt;$AB37</formula>
    </cfRule>
    <cfRule type="expression" dxfId="411" priority="22">
      <formula>$AB36&lt;$AB37</formula>
    </cfRule>
  </conditionalFormatting>
  <conditionalFormatting sqref="Y37:AB37">
    <cfRule type="expression" dxfId="410" priority="19">
      <formula>$AB37&lt;$AB36</formula>
    </cfRule>
    <cfRule type="expression" dxfId="409" priority="20">
      <formula>$AB37&gt;$AB36</formula>
    </cfRule>
    <cfRule type="expression" dxfId="408" priority="21">
      <formula>AND($AB37=$AB36,$Y37&lt;$Y36)</formula>
    </cfRule>
  </conditionalFormatting>
  <conditionalFormatting sqref="AD3:AG3 AD12:AG12">
    <cfRule type="expression" dxfId="407" priority="17">
      <formula>$AG3&gt;$AG4</formula>
    </cfRule>
    <cfRule type="expression" dxfId="406" priority="18">
      <formula>AND($AG3=$AG4,$AD3&lt;$AD4)</formula>
    </cfRule>
    <cfRule type="expression" dxfId="405" priority="16">
      <formula>$AG3&lt;$AG4</formula>
    </cfRule>
  </conditionalFormatting>
  <conditionalFormatting sqref="AD4:AG4 AD13:AG13">
    <cfRule type="expression" dxfId="404" priority="15">
      <formula>AND($AG4=$AG3,$AD4&lt;$AD3)</formula>
    </cfRule>
    <cfRule type="expression" dxfId="403" priority="14">
      <formula>$AG4&gt;$AG3</formula>
    </cfRule>
    <cfRule type="expression" dxfId="402" priority="13">
      <formula>$AG4&lt;$AG3</formula>
    </cfRule>
  </conditionalFormatting>
  <conditionalFormatting sqref="AD6:AG6">
    <cfRule type="expression" dxfId="401" priority="12">
      <formula>AND($AG6=$AG7,$AD6&lt;$AD7)</formula>
    </cfRule>
    <cfRule type="expression" dxfId="400" priority="11">
      <formula>$AG6&gt;$AG7</formula>
    </cfRule>
    <cfRule type="expression" dxfId="399" priority="10">
      <formula>$AG6&lt;$AG7</formula>
    </cfRule>
  </conditionalFormatting>
  <conditionalFormatting sqref="AD7:AG7">
    <cfRule type="expression" dxfId="398" priority="9">
      <formula>AND($AG7=$AG6,$AD7&lt;$AD6)</formula>
    </cfRule>
    <cfRule type="expression" dxfId="397" priority="8">
      <formula>$AG7&gt;$AG6</formula>
    </cfRule>
    <cfRule type="expression" dxfId="396" priority="7">
      <formula>$AG7&lt;$AG6</formula>
    </cfRule>
  </conditionalFormatting>
  <conditionalFormatting sqref="AD9:AG9">
    <cfRule type="expression" dxfId="395" priority="4">
      <formula>$AG9&lt;$AG10</formula>
    </cfRule>
    <cfRule type="expression" dxfId="394" priority="6">
      <formula>AND($AG9=$AG10,$AD9&lt;$AD10)</formula>
    </cfRule>
    <cfRule type="expression" dxfId="393" priority="5">
      <formula>$AG9&gt;$AG10</formula>
    </cfRule>
  </conditionalFormatting>
  <conditionalFormatting sqref="AD10:AG10">
    <cfRule type="expression" dxfId="392" priority="3">
      <formula>AND($AG10=$AG9,$AD10&lt;$AD9)</formula>
    </cfRule>
    <cfRule type="expression" dxfId="391" priority="1">
      <formula>$AG10&lt;$AG9</formula>
    </cfRule>
    <cfRule type="expression" dxfId="390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064D7-DADB-42B6-A2E5-CB027916CF13}">
  <dimension ref="A1:AH39"/>
  <sheetViews>
    <sheetView workbookViewId="0">
      <selection activeCell="Y10" sqref="Y10"/>
    </sheetView>
  </sheetViews>
  <sheetFormatPr defaultRowHeight="14.4" x14ac:dyDescent="0.3"/>
  <cols>
    <col min="1" max="1" width="9" customWidth="1"/>
    <col min="2" max="3" width="9" hidden="1" customWidth="1"/>
    <col min="4" max="4" width="11.5546875" hidden="1" customWidth="1"/>
    <col min="5" max="13" width="9" hidden="1" customWidth="1"/>
    <col min="14" max="14" width="8" hidden="1" customWidth="1"/>
    <col min="15" max="15" width="10" hidden="1" customWidth="1"/>
    <col min="16" max="20" width="9" hidden="1" customWidth="1"/>
    <col min="22" max="24" width="11" customWidth="1"/>
    <col min="25" max="25" width="11.5546875" bestFit="1" customWidth="1"/>
    <col min="26" max="33" width="6.44140625" customWidth="1"/>
    <col min="34" max="34" width="7.5546875" customWidth="1"/>
  </cols>
  <sheetData>
    <row r="1" spans="1:34" x14ac:dyDescent="0.3">
      <c r="E1" t="s">
        <v>96</v>
      </c>
      <c r="F1" t="s">
        <v>97</v>
      </c>
      <c r="G1" t="s">
        <v>98</v>
      </c>
      <c r="H1" t="s">
        <v>99</v>
      </c>
      <c r="I1" t="s">
        <v>100</v>
      </c>
      <c r="J1" t="s">
        <v>101</v>
      </c>
      <c r="K1" t="s">
        <v>102</v>
      </c>
      <c r="L1" t="s">
        <v>103</v>
      </c>
      <c r="M1" t="s">
        <v>104</v>
      </c>
      <c r="V1" t="s">
        <v>61</v>
      </c>
      <c r="W1" t="s">
        <v>63</v>
      </c>
      <c r="X1" t="s">
        <v>64</v>
      </c>
      <c r="Y1" t="s">
        <v>105</v>
      </c>
      <c r="Z1" t="s">
        <v>96</v>
      </c>
      <c r="AA1" t="s">
        <v>97</v>
      </c>
      <c r="AB1" t="s">
        <v>98</v>
      </c>
      <c r="AC1" t="s">
        <v>99</v>
      </c>
      <c r="AD1" t="s">
        <v>100</v>
      </c>
      <c r="AE1" t="s">
        <v>101</v>
      </c>
      <c r="AF1" t="s">
        <v>102</v>
      </c>
      <c r="AG1" t="s">
        <v>103</v>
      </c>
      <c r="AH1" t="s">
        <v>104</v>
      </c>
    </row>
    <row r="2" spans="1:34" x14ac:dyDescent="0.3">
      <c r="A2">
        <f>S2</f>
        <v>23</v>
      </c>
      <c r="B2">
        <f>Entry!A2</f>
        <v>18</v>
      </c>
      <c r="C2" t="str">
        <f>Entry!B2</f>
        <v>Matthew</v>
      </c>
      <c r="D2" t="str">
        <f>Entry!C2</f>
        <v>Denham</v>
      </c>
      <c r="E2">
        <f>IFERROR(VLOOKUP($B2,Table5[['#]:[Pts]],3,0),0)</f>
        <v>0</v>
      </c>
      <c r="F2">
        <f>IFERROR(VLOOKUP($B2,Table59[['#]:[Pts]],3,0),0)</f>
        <v>0</v>
      </c>
      <c r="G2">
        <f>IFERROR(VLOOKUP($B2,RD3pts[['#]:[Pts]],3,0),0)</f>
        <v>0</v>
      </c>
      <c r="H2">
        <f>IFERROR(VLOOKUP($B2,Table591317[['#]:[Pts]],3,0),0)</f>
        <v>0</v>
      </c>
      <c r="I2">
        <f>IFERROR(VLOOKUP($B2,Table59131721[['#]:[Pts]],3,0),0)</f>
        <v>0</v>
      </c>
      <c r="J2">
        <f>IFERROR(VLOOKUP($B2,Table5913172125[['#]:[Pts]],3,0),0)</f>
        <v>0</v>
      </c>
      <c r="K2">
        <f>IFERROR(VLOOKUP($B2,Table591317212529[['#]:[Pts]],3,0),0)</f>
        <v>0</v>
      </c>
      <c r="L2">
        <f>IFERROR(VLOOKUP($B2,Table59131721252933[['#]:[Pts]],3,0),0)</f>
        <v>0</v>
      </c>
      <c r="M2">
        <f>SUM(E2:L2)</f>
        <v>0</v>
      </c>
      <c r="N2">
        <f>M2+LARGE(E2:L2,1)/100+LARGE(E2:L2,2)/10000+LARGE(E2:L2,3)/1000000+LARGE(E2:L2,4)/100000000+LARGE(E2:L2,5)/10000000000</f>
        <v>0</v>
      </c>
      <c r="O2">
        <f t="shared" ref="O2:O23" si="0">LARGE(E2:L2,6)+LARGE(E2:L2,7)/100+LARGE(E2:L2,8)/10000+IF(B2=0,0,(1000-B2)/10000000)</f>
        <v>9.8200000000000002E-5</v>
      </c>
      <c r="P2">
        <f>RANK(N2,$N$2:$N$39,0)</f>
        <v>23</v>
      </c>
      <c r="Q2">
        <f>RANK(O2,$O$2:$O$39,0)</f>
        <v>1</v>
      </c>
      <c r="R2">
        <f>P2+Q2/100</f>
        <v>23.01</v>
      </c>
      <c r="S2">
        <f>RANK(R2,$R$2:$R$39,1)</f>
        <v>23</v>
      </c>
      <c r="V2">
        <v>1</v>
      </c>
      <c r="W2">
        <f>VLOOKUP(V2,$A$2:$M$39,2,0)</f>
        <v>61</v>
      </c>
      <c r="X2" t="str">
        <f>VLOOKUP(V2,$A$2:$M$39,3,0)</f>
        <v>Martin</v>
      </c>
      <c r="Y2" t="str">
        <f>VLOOKUP(V2,$A$2:$M$39,4,0)</f>
        <v>Richards</v>
      </c>
      <c r="Z2">
        <f>VLOOKUP(V2,$A$2:$M$39,5,0)</f>
        <v>40</v>
      </c>
      <c r="AA2">
        <f>VLOOKUP(V2,$A$2:$M$39,6,0)</f>
        <v>40</v>
      </c>
      <c r="AB2">
        <f>VLOOKUP(V2,$A$2:$M$39,7,0)</f>
        <v>50</v>
      </c>
      <c r="AC2">
        <f>VLOOKUP(V2,$A$2:$M$39,8,0)</f>
        <v>20</v>
      </c>
      <c r="AD2">
        <f>VLOOKUP(V2,$A$2:$M$39,9,0)</f>
        <v>0</v>
      </c>
      <c r="AE2">
        <f>VLOOKUP(V2,$A$2:$M$39,10,0)</f>
        <v>0</v>
      </c>
      <c r="AF2">
        <f>VLOOKUP(V2,$A$2:$M$39,11,0)</f>
        <v>0</v>
      </c>
      <c r="AG2">
        <f>VLOOKUP(V2,$A$2:$M$39,12,0)</f>
        <v>0</v>
      </c>
      <c r="AH2">
        <f>VLOOKUP(V2,$A$2:$M$39,13,0)</f>
        <v>150</v>
      </c>
    </row>
    <row r="3" spans="1:34" x14ac:dyDescent="0.3">
      <c r="A3">
        <f t="shared" ref="A3:A39" si="1">S3</f>
        <v>21</v>
      </c>
      <c r="B3">
        <f>Entry!A3</f>
        <v>22</v>
      </c>
      <c r="C3" t="str">
        <f>Entry!B3</f>
        <v>Joel</v>
      </c>
      <c r="D3" t="str">
        <f>Entry!C3</f>
        <v>Conlan</v>
      </c>
      <c r="E3">
        <f>IFERROR(VLOOKUP($B3,Table5[['#]:[Pts]],3,0),0)</f>
        <v>1</v>
      </c>
      <c r="F3">
        <f>IFERROR(VLOOKUP($B3,Table59[['#]:[Pts]],3,0),0)</f>
        <v>1</v>
      </c>
      <c r="G3">
        <f>IFERROR(VLOOKUP($B3,RD3pts[['#]:[Pts]],3,0),0)</f>
        <v>0</v>
      </c>
      <c r="H3">
        <f>IFERROR(VLOOKUP($B3,Table591317[['#]:[Pts]],3,0),0)</f>
        <v>0</v>
      </c>
      <c r="I3">
        <f>IFERROR(VLOOKUP($B3,Table59131721[['#]:[Pts]],3,0),0)</f>
        <v>0</v>
      </c>
      <c r="J3">
        <f>IFERROR(VLOOKUP($B3,Table5913172125[['#]:[Pts]],3,0),0)</f>
        <v>0</v>
      </c>
      <c r="K3">
        <f>IFERROR(VLOOKUP($B3,Table591317212529[['#]:[Pts]],3,0),0)</f>
        <v>0</v>
      </c>
      <c r="L3">
        <f>IFERROR(VLOOKUP($B3,Table59131721252933[['#]:[Pts]],3,0),0)</f>
        <v>0</v>
      </c>
      <c r="M3">
        <f t="shared" ref="M3:M39" si="2">SUM(E3:L3)</f>
        <v>2</v>
      </c>
      <c r="N3">
        <f t="shared" ref="N3:N39" si="3">M3+LARGE(E3:L3,1)/100+LARGE(E3:L3,2)/10000+LARGE(E3:L3,3)/1000000+LARGE(E3:L3,4)/100000000+LARGE(E3:L3,5)/10000000000</f>
        <v>2.0101</v>
      </c>
      <c r="O3">
        <f t="shared" si="0"/>
        <v>9.7800000000000006E-5</v>
      </c>
      <c r="P3">
        <f t="shared" ref="P3:P39" si="4">RANK(N3,$N$2:$N$39,0)</f>
        <v>21</v>
      </c>
      <c r="Q3">
        <f t="shared" ref="Q3:Q39" si="5">RANK(O3,$O$2:$O$39,0)</f>
        <v>3</v>
      </c>
      <c r="R3">
        <f t="shared" ref="R3:R39" si="6">P3+Q3/100</f>
        <v>21.03</v>
      </c>
      <c r="S3">
        <f t="shared" ref="S3:S39" si="7">RANK(R3,$R$2:$R$39,1)</f>
        <v>21</v>
      </c>
      <c r="V3">
        <v>2</v>
      </c>
      <c r="W3">
        <f t="shared" ref="W3:W26" si="8">VLOOKUP(V3,$A$2:$M$39,2,0)</f>
        <v>128</v>
      </c>
      <c r="X3" t="str">
        <f t="shared" ref="X3:X26" si="9">VLOOKUP(V3,$A$2:$M$39,3,0)</f>
        <v>Lwi</v>
      </c>
      <c r="Y3" t="str">
        <f t="shared" ref="Y3:Y26" si="10">VLOOKUP(V3,$A$2:$M$39,4,0)</f>
        <v>Edwards</v>
      </c>
      <c r="Z3">
        <f t="shared" ref="Z3:Z26" si="11">VLOOKUP(V3,$A$2:$M$39,5,0)</f>
        <v>20</v>
      </c>
      <c r="AA3">
        <f t="shared" ref="AA3:AA26" si="12">VLOOKUP(V3,$A$2:$M$39,6,0)</f>
        <v>50</v>
      </c>
      <c r="AB3">
        <f t="shared" ref="AB3:AB26" si="13">VLOOKUP(V3,$A$2:$M$39,7,0)</f>
        <v>20</v>
      </c>
      <c r="AC3">
        <f t="shared" ref="AC3:AC26" si="14">VLOOKUP(V3,$A$2:$M$39,8,0)</f>
        <v>50</v>
      </c>
      <c r="AD3">
        <f t="shared" ref="AD3:AD26" si="15">VLOOKUP(V3,$A$2:$M$39,9,0)</f>
        <v>0</v>
      </c>
      <c r="AE3">
        <f t="shared" ref="AE3:AE26" si="16">VLOOKUP(V3,$A$2:$M$39,10,0)</f>
        <v>0</v>
      </c>
      <c r="AF3">
        <f t="shared" ref="AF3:AF26" si="17">VLOOKUP(V3,$A$2:$M$39,11,0)</f>
        <v>0</v>
      </c>
      <c r="AG3">
        <f t="shared" ref="AG3:AG26" si="18">VLOOKUP(V3,$A$2:$M$39,12,0)</f>
        <v>0</v>
      </c>
      <c r="AH3">
        <f t="shared" ref="AH3:AH26" si="19">VLOOKUP(V3,$A$2:$M$39,13,0)</f>
        <v>140</v>
      </c>
    </row>
    <row r="4" spans="1:34" x14ac:dyDescent="0.3">
      <c r="A4">
        <f t="shared" si="1"/>
        <v>10</v>
      </c>
      <c r="B4">
        <f>Entry!A4</f>
        <v>26</v>
      </c>
      <c r="C4" t="str">
        <f>Entry!B4</f>
        <v>Haydn</v>
      </c>
      <c r="D4" t="str">
        <f>Entry!C4</f>
        <v>Cruickshank</v>
      </c>
      <c r="E4">
        <f>IFERROR(VLOOKUP($B4,Table5[['#]:[Pts]],3,0),0)</f>
        <v>20</v>
      </c>
      <c r="F4">
        <f>IFERROR(VLOOKUP($B4,Table59[['#]:[Pts]],3,0),0)</f>
        <v>10</v>
      </c>
      <c r="G4">
        <f>IFERROR(VLOOKUP($B4,RD3pts[['#]:[Pts]],3,0),0)</f>
        <v>10</v>
      </c>
      <c r="H4">
        <f>IFERROR(VLOOKUP($B4,Table591317[['#]:[Pts]],3,0),0)</f>
        <v>10</v>
      </c>
      <c r="I4">
        <f>IFERROR(VLOOKUP($B4,Table59131721[['#]:[Pts]],3,0),0)</f>
        <v>0</v>
      </c>
      <c r="J4">
        <f>IFERROR(VLOOKUP($B4,Table5913172125[['#]:[Pts]],3,0),0)</f>
        <v>0</v>
      </c>
      <c r="K4">
        <f>IFERROR(VLOOKUP($B4,Table591317212529[['#]:[Pts]],3,0),0)</f>
        <v>0</v>
      </c>
      <c r="L4">
        <f>IFERROR(VLOOKUP($B4,Table59131721252933[['#]:[Pts]],3,0),0)</f>
        <v>0</v>
      </c>
      <c r="M4">
        <f t="shared" si="2"/>
        <v>50</v>
      </c>
      <c r="N4">
        <f t="shared" si="3"/>
        <v>50.201010100000005</v>
      </c>
      <c r="O4">
        <f t="shared" si="0"/>
        <v>9.7399999999999996E-5</v>
      </c>
      <c r="P4">
        <f t="shared" si="4"/>
        <v>10</v>
      </c>
      <c r="Q4">
        <f t="shared" si="5"/>
        <v>4</v>
      </c>
      <c r="R4">
        <f t="shared" si="6"/>
        <v>10.039999999999999</v>
      </c>
      <c r="S4">
        <f t="shared" si="7"/>
        <v>10</v>
      </c>
      <c r="V4">
        <v>3</v>
      </c>
      <c r="W4">
        <f t="shared" si="8"/>
        <v>41</v>
      </c>
      <c r="X4" t="str">
        <f t="shared" si="9"/>
        <v>Ian</v>
      </c>
      <c r="Y4" t="str">
        <f t="shared" si="10"/>
        <v>Phillips</v>
      </c>
      <c r="Z4">
        <f t="shared" si="11"/>
        <v>50</v>
      </c>
      <c r="AA4">
        <f t="shared" si="12"/>
        <v>20</v>
      </c>
      <c r="AB4">
        <f t="shared" si="13"/>
        <v>25</v>
      </c>
      <c r="AC4">
        <f t="shared" si="14"/>
        <v>20</v>
      </c>
      <c r="AD4">
        <f t="shared" si="15"/>
        <v>0</v>
      </c>
      <c r="AE4">
        <f t="shared" si="16"/>
        <v>0</v>
      </c>
      <c r="AF4">
        <f t="shared" si="17"/>
        <v>0</v>
      </c>
      <c r="AG4">
        <f t="shared" si="18"/>
        <v>0</v>
      </c>
      <c r="AH4">
        <f t="shared" si="19"/>
        <v>115</v>
      </c>
    </row>
    <row r="5" spans="1:34" x14ac:dyDescent="0.3">
      <c r="A5">
        <f t="shared" si="1"/>
        <v>15</v>
      </c>
      <c r="B5">
        <f>Entry!A5</f>
        <v>39</v>
      </c>
      <c r="C5" t="str">
        <f>Entry!B5</f>
        <v>Paul</v>
      </c>
      <c r="D5" t="str">
        <f>Entry!C5</f>
        <v>Beechey</v>
      </c>
      <c r="E5">
        <f>IFERROR(VLOOKUP($B5,Table5[['#]:[Pts]],3,0),0)</f>
        <v>10</v>
      </c>
      <c r="F5">
        <f>IFERROR(VLOOKUP($B5,Table59[['#]:[Pts]],3,0),0)</f>
        <v>10</v>
      </c>
      <c r="G5">
        <f>IFERROR(VLOOKUP($B5,RD3pts[['#]:[Pts]],3,0),0)</f>
        <v>5</v>
      </c>
      <c r="H5">
        <f>IFERROR(VLOOKUP($B5,Table591317[['#]:[Pts]],3,0),0)</f>
        <v>10</v>
      </c>
      <c r="I5">
        <f>IFERROR(VLOOKUP($B5,Table59131721[['#]:[Pts]],3,0),0)</f>
        <v>0</v>
      </c>
      <c r="J5">
        <f>IFERROR(VLOOKUP($B5,Table5913172125[['#]:[Pts]],3,0),0)</f>
        <v>0</v>
      </c>
      <c r="K5">
        <f>IFERROR(VLOOKUP($B5,Table591317212529[['#]:[Pts]],3,0),0)</f>
        <v>0</v>
      </c>
      <c r="L5">
        <f>IFERROR(VLOOKUP($B5,Table59131721252933[['#]:[Pts]],3,0),0)</f>
        <v>0</v>
      </c>
      <c r="M5">
        <f t="shared" si="2"/>
        <v>35</v>
      </c>
      <c r="N5">
        <f t="shared" si="3"/>
        <v>35.101010049999999</v>
      </c>
      <c r="O5">
        <f t="shared" si="0"/>
        <v>9.6100000000000005E-5</v>
      </c>
      <c r="P5">
        <f t="shared" si="4"/>
        <v>15</v>
      </c>
      <c r="Q5">
        <f t="shared" si="5"/>
        <v>5</v>
      </c>
      <c r="R5">
        <f t="shared" si="6"/>
        <v>15.05</v>
      </c>
      <c r="S5">
        <f t="shared" si="7"/>
        <v>15</v>
      </c>
      <c r="V5">
        <v>4</v>
      </c>
      <c r="W5">
        <f t="shared" si="8"/>
        <v>86</v>
      </c>
      <c r="X5" t="str">
        <f t="shared" si="9"/>
        <v>David</v>
      </c>
      <c r="Y5" t="str">
        <f t="shared" si="10"/>
        <v>Bastin</v>
      </c>
      <c r="Z5">
        <f t="shared" si="11"/>
        <v>25</v>
      </c>
      <c r="AA5">
        <f t="shared" si="12"/>
        <v>20</v>
      </c>
      <c r="AB5">
        <f t="shared" si="13"/>
        <v>40</v>
      </c>
      <c r="AC5">
        <f t="shared" si="14"/>
        <v>20</v>
      </c>
      <c r="AD5">
        <f t="shared" si="15"/>
        <v>0</v>
      </c>
      <c r="AE5">
        <f t="shared" si="16"/>
        <v>0</v>
      </c>
      <c r="AF5">
        <f t="shared" si="17"/>
        <v>0</v>
      </c>
      <c r="AG5">
        <f t="shared" si="18"/>
        <v>0</v>
      </c>
      <c r="AH5">
        <f t="shared" si="19"/>
        <v>105</v>
      </c>
    </row>
    <row r="6" spans="1:34" x14ac:dyDescent="0.3">
      <c r="A6">
        <f t="shared" si="1"/>
        <v>3</v>
      </c>
      <c r="B6">
        <f>Entry!A6</f>
        <v>41</v>
      </c>
      <c r="C6" t="str">
        <f>Entry!B6</f>
        <v>Ian</v>
      </c>
      <c r="D6" t="str">
        <f>Entry!C6</f>
        <v>Phillips</v>
      </c>
      <c r="E6">
        <f>IFERROR(VLOOKUP($B6,Table5[['#]:[Pts]],3,0),0)</f>
        <v>50</v>
      </c>
      <c r="F6">
        <f>IFERROR(VLOOKUP($B6,Table59[['#]:[Pts]],3,0),0)</f>
        <v>20</v>
      </c>
      <c r="G6">
        <f>IFERROR(VLOOKUP($B6,RD3pts[['#]:[Pts]],3,0),0)</f>
        <v>25</v>
      </c>
      <c r="H6">
        <f>IFERROR(VLOOKUP($B6,Table591317[['#]:[Pts]],3,0),0)</f>
        <v>20</v>
      </c>
      <c r="I6">
        <f>IFERROR(VLOOKUP($B6,Table59131721[['#]:[Pts]],3,0),0)</f>
        <v>0</v>
      </c>
      <c r="J6">
        <f>IFERROR(VLOOKUP($B6,Table5913172125[['#]:[Pts]],3,0),0)</f>
        <v>0</v>
      </c>
      <c r="K6">
        <f>IFERROR(VLOOKUP($B6,Table591317212529[['#]:[Pts]],3,0),0)</f>
        <v>0</v>
      </c>
      <c r="L6">
        <f>IFERROR(VLOOKUP($B6,Table59131721252933[['#]:[Pts]],3,0),0)</f>
        <v>0</v>
      </c>
      <c r="M6">
        <f t="shared" si="2"/>
        <v>115</v>
      </c>
      <c r="N6">
        <f t="shared" si="3"/>
        <v>115.50252020000001</v>
      </c>
      <c r="O6">
        <f t="shared" si="0"/>
        <v>9.59E-5</v>
      </c>
      <c r="P6">
        <f t="shared" si="4"/>
        <v>3</v>
      </c>
      <c r="Q6">
        <f t="shared" si="5"/>
        <v>6</v>
      </c>
      <c r="R6">
        <f t="shared" si="6"/>
        <v>3.06</v>
      </c>
      <c r="S6">
        <f t="shared" si="7"/>
        <v>3</v>
      </c>
      <c r="V6">
        <v>5</v>
      </c>
      <c r="W6">
        <f t="shared" si="8"/>
        <v>93</v>
      </c>
      <c r="X6" t="str">
        <f t="shared" si="9"/>
        <v>Josh</v>
      </c>
      <c r="Y6" t="str">
        <f t="shared" si="10"/>
        <v>King</v>
      </c>
      <c r="Z6">
        <f t="shared" si="11"/>
        <v>10</v>
      </c>
      <c r="AA6">
        <f t="shared" si="12"/>
        <v>30</v>
      </c>
      <c r="AB6">
        <f t="shared" si="13"/>
        <v>10</v>
      </c>
      <c r="AC6">
        <f t="shared" si="14"/>
        <v>25</v>
      </c>
      <c r="AD6">
        <f t="shared" si="15"/>
        <v>0</v>
      </c>
      <c r="AE6">
        <f t="shared" si="16"/>
        <v>0</v>
      </c>
      <c r="AF6">
        <f t="shared" si="17"/>
        <v>0</v>
      </c>
      <c r="AG6">
        <f t="shared" si="18"/>
        <v>0</v>
      </c>
      <c r="AH6">
        <f t="shared" si="19"/>
        <v>75</v>
      </c>
    </row>
    <row r="7" spans="1:34" x14ac:dyDescent="0.3">
      <c r="A7">
        <f t="shared" si="1"/>
        <v>6</v>
      </c>
      <c r="B7">
        <f>Entry!A7</f>
        <v>55</v>
      </c>
      <c r="C7" t="str">
        <f>Entry!B7</f>
        <v>Oliver</v>
      </c>
      <c r="D7" t="str">
        <f>Entry!C7</f>
        <v>Evans</v>
      </c>
      <c r="E7">
        <f>IFERROR(VLOOKUP($B7,Table5[['#]:[Pts]],3,0),0)</f>
        <v>20</v>
      </c>
      <c r="F7">
        <f>IFERROR(VLOOKUP($B7,Table59[['#]:[Pts]],3,0),0)</f>
        <v>1</v>
      </c>
      <c r="G7">
        <f>IFERROR(VLOOKUP($B7,RD3pts[['#]:[Pts]],3,0),0)</f>
        <v>20</v>
      </c>
      <c r="H7">
        <f>IFERROR(VLOOKUP($B7,Table591317[['#]:[Pts]],3,0),0)</f>
        <v>30</v>
      </c>
      <c r="I7">
        <f>IFERROR(VLOOKUP($B7,Table59131721[['#]:[Pts]],3,0),0)</f>
        <v>0</v>
      </c>
      <c r="J7">
        <f>IFERROR(VLOOKUP($B7,Table5913172125[['#]:[Pts]],3,0),0)</f>
        <v>0</v>
      </c>
      <c r="K7">
        <f>IFERROR(VLOOKUP($B7,Table591317212529[['#]:[Pts]],3,0),0)</f>
        <v>0</v>
      </c>
      <c r="L7">
        <f>IFERROR(VLOOKUP($B7,Table59131721252933[['#]:[Pts]],3,0),0)</f>
        <v>0</v>
      </c>
      <c r="M7">
        <f t="shared" si="2"/>
        <v>71</v>
      </c>
      <c r="N7">
        <f t="shared" si="3"/>
        <v>71.302020009999993</v>
      </c>
      <c r="O7">
        <f t="shared" si="0"/>
        <v>9.4500000000000007E-5</v>
      </c>
      <c r="P7">
        <f t="shared" si="4"/>
        <v>6</v>
      </c>
      <c r="Q7">
        <f t="shared" si="5"/>
        <v>7</v>
      </c>
      <c r="R7">
        <f t="shared" si="6"/>
        <v>6.07</v>
      </c>
      <c r="S7">
        <f t="shared" si="7"/>
        <v>6</v>
      </c>
      <c r="V7">
        <v>6</v>
      </c>
      <c r="W7">
        <f t="shared" si="8"/>
        <v>55</v>
      </c>
      <c r="X7" t="str">
        <f t="shared" si="9"/>
        <v>Oliver</v>
      </c>
      <c r="Y7" t="str">
        <f t="shared" si="10"/>
        <v>Evans</v>
      </c>
      <c r="Z7">
        <f t="shared" si="11"/>
        <v>20</v>
      </c>
      <c r="AA7">
        <f t="shared" si="12"/>
        <v>1</v>
      </c>
      <c r="AB7">
        <f t="shared" si="13"/>
        <v>20</v>
      </c>
      <c r="AC7">
        <f t="shared" si="14"/>
        <v>30</v>
      </c>
      <c r="AD7">
        <f t="shared" si="15"/>
        <v>0</v>
      </c>
      <c r="AE7">
        <f t="shared" si="16"/>
        <v>0</v>
      </c>
      <c r="AF7">
        <f t="shared" si="17"/>
        <v>0</v>
      </c>
      <c r="AG7">
        <f t="shared" si="18"/>
        <v>0</v>
      </c>
      <c r="AH7">
        <f t="shared" si="19"/>
        <v>71</v>
      </c>
    </row>
    <row r="8" spans="1:34" x14ac:dyDescent="0.3">
      <c r="A8">
        <f t="shared" si="1"/>
        <v>16</v>
      </c>
      <c r="B8">
        <f>Entry!A8</f>
        <v>56</v>
      </c>
      <c r="C8" t="str">
        <f>Entry!B8</f>
        <v>Jonathan</v>
      </c>
      <c r="D8" t="str">
        <f>Entry!C8</f>
        <v>Smith</v>
      </c>
      <c r="E8">
        <f>IFERROR(VLOOKUP($B8,Table5[['#]:[Pts]],3,0),0)</f>
        <v>0</v>
      </c>
      <c r="F8">
        <f>IFERROR(VLOOKUP($B8,Table59[['#]:[Pts]],3,0),0)</f>
        <v>0</v>
      </c>
      <c r="G8">
        <f>IFERROR(VLOOKUP($B8,RD3pts[['#]:[Pts]],3,0),0)</f>
        <v>20</v>
      </c>
      <c r="H8">
        <f>IFERROR(VLOOKUP($B8,Table591317[['#]:[Pts]],3,0),0)</f>
        <v>10</v>
      </c>
      <c r="I8">
        <f>IFERROR(VLOOKUP($B8,Table59131721[['#]:[Pts]],3,0),0)</f>
        <v>0</v>
      </c>
      <c r="J8">
        <f>IFERROR(VLOOKUP($B8,Table5913172125[['#]:[Pts]],3,0),0)</f>
        <v>0</v>
      </c>
      <c r="K8">
        <f>IFERROR(VLOOKUP($B8,Table591317212529[['#]:[Pts]],3,0),0)</f>
        <v>0</v>
      </c>
      <c r="L8">
        <f>IFERROR(VLOOKUP($B8,Table59131721252933[['#]:[Pts]],3,0),0)</f>
        <v>0</v>
      </c>
      <c r="M8">
        <f t="shared" si="2"/>
        <v>30</v>
      </c>
      <c r="N8">
        <f t="shared" si="3"/>
        <v>30.201000000000001</v>
      </c>
      <c r="O8">
        <f t="shared" si="0"/>
        <v>9.4400000000000004E-5</v>
      </c>
      <c r="P8">
        <f t="shared" si="4"/>
        <v>16</v>
      </c>
      <c r="Q8">
        <f t="shared" si="5"/>
        <v>8</v>
      </c>
      <c r="R8">
        <f t="shared" si="6"/>
        <v>16.079999999999998</v>
      </c>
      <c r="S8">
        <f t="shared" si="7"/>
        <v>16</v>
      </c>
      <c r="V8">
        <v>7</v>
      </c>
      <c r="W8">
        <f t="shared" si="8"/>
        <v>94</v>
      </c>
      <c r="X8" t="str">
        <f t="shared" si="9"/>
        <v>Paul</v>
      </c>
      <c r="Y8" t="str">
        <f t="shared" si="10"/>
        <v>Cunnington</v>
      </c>
      <c r="Z8">
        <f t="shared" si="11"/>
        <v>30</v>
      </c>
      <c r="AA8">
        <f t="shared" si="12"/>
        <v>25</v>
      </c>
      <c r="AB8">
        <f t="shared" si="13"/>
        <v>10</v>
      </c>
      <c r="AC8">
        <f t="shared" si="14"/>
        <v>1</v>
      </c>
      <c r="AD8">
        <f t="shared" si="15"/>
        <v>0</v>
      </c>
      <c r="AE8">
        <f t="shared" si="16"/>
        <v>0</v>
      </c>
      <c r="AF8">
        <f t="shared" si="17"/>
        <v>0</v>
      </c>
      <c r="AG8">
        <f t="shared" si="18"/>
        <v>0</v>
      </c>
      <c r="AH8">
        <f t="shared" si="19"/>
        <v>66</v>
      </c>
    </row>
    <row r="9" spans="1:34" x14ac:dyDescent="0.3">
      <c r="A9">
        <f t="shared" si="1"/>
        <v>1</v>
      </c>
      <c r="B9">
        <f>Entry!A9</f>
        <v>61</v>
      </c>
      <c r="C9" t="str">
        <f>Entry!B9</f>
        <v>Martin</v>
      </c>
      <c r="D9" t="str">
        <f>Entry!C9</f>
        <v>Richards</v>
      </c>
      <c r="E9">
        <f>IFERROR(VLOOKUP($B9,Table5[['#]:[Pts]],3,0),0)</f>
        <v>40</v>
      </c>
      <c r="F9">
        <f>IFERROR(VLOOKUP($B9,Table59[['#]:[Pts]],3,0),0)</f>
        <v>40</v>
      </c>
      <c r="G9">
        <f>IFERROR(VLOOKUP($B9,RD3pts[['#]:[Pts]],3,0),0)</f>
        <v>50</v>
      </c>
      <c r="H9">
        <f>IFERROR(VLOOKUP($B9,Table591317[['#]:[Pts]],3,0),0)</f>
        <v>20</v>
      </c>
      <c r="I9">
        <f>IFERROR(VLOOKUP($B9,Table59131721[['#]:[Pts]],3,0),0)</f>
        <v>0</v>
      </c>
      <c r="J9">
        <f>IFERROR(VLOOKUP($B9,Table5913172125[['#]:[Pts]],3,0),0)</f>
        <v>0</v>
      </c>
      <c r="K9">
        <f>IFERROR(VLOOKUP($B9,Table591317212529[['#]:[Pts]],3,0),0)</f>
        <v>0</v>
      </c>
      <c r="L9">
        <f>IFERROR(VLOOKUP($B9,Table59131721252933[['#]:[Pts]],3,0),0)</f>
        <v>0</v>
      </c>
      <c r="M9">
        <f t="shared" si="2"/>
        <v>150</v>
      </c>
      <c r="N9">
        <f t="shared" si="3"/>
        <v>150.50404019999999</v>
      </c>
      <c r="O9">
        <f t="shared" si="0"/>
        <v>9.3900000000000006E-5</v>
      </c>
      <c r="P9">
        <f t="shared" si="4"/>
        <v>1</v>
      </c>
      <c r="Q9">
        <f t="shared" si="5"/>
        <v>9</v>
      </c>
      <c r="R9">
        <f t="shared" si="6"/>
        <v>1.0900000000000001</v>
      </c>
      <c r="S9">
        <f t="shared" si="7"/>
        <v>1</v>
      </c>
      <c r="V9">
        <v>8</v>
      </c>
      <c r="W9">
        <f t="shared" si="8"/>
        <v>265</v>
      </c>
      <c r="X9" t="str">
        <f t="shared" si="9"/>
        <v>Axel</v>
      </c>
      <c r="Y9" t="str">
        <f t="shared" si="10"/>
        <v>Hildebrand</v>
      </c>
      <c r="Z9">
        <f t="shared" si="11"/>
        <v>1</v>
      </c>
      <c r="AA9">
        <f t="shared" si="12"/>
        <v>1</v>
      </c>
      <c r="AB9">
        <f t="shared" si="13"/>
        <v>20</v>
      </c>
      <c r="AC9">
        <f t="shared" si="14"/>
        <v>40</v>
      </c>
      <c r="AD9">
        <f t="shared" si="15"/>
        <v>0</v>
      </c>
      <c r="AE9">
        <f t="shared" si="16"/>
        <v>0</v>
      </c>
      <c r="AF9">
        <f t="shared" si="17"/>
        <v>0</v>
      </c>
      <c r="AG9">
        <f t="shared" si="18"/>
        <v>0</v>
      </c>
      <c r="AH9">
        <f t="shared" si="19"/>
        <v>62</v>
      </c>
    </row>
    <row r="10" spans="1:34" x14ac:dyDescent="0.3">
      <c r="A10">
        <f t="shared" si="1"/>
        <v>12</v>
      </c>
      <c r="B10">
        <f>Entry!A10</f>
        <v>66</v>
      </c>
      <c r="C10" t="str">
        <f>Entry!B10</f>
        <v>Andy</v>
      </c>
      <c r="D10" t="str">
        <f>Entry!C10</f>
        <v>Frost</v>
      </c>
      <c r="E10">
        <f>IFERROR(VLOOKUP($B10,Table5[['#]:[Pts]],3,0),0)</f>
        <v>10</v>
      </c>
      <c r="F10">
        <f>IFERROR(VLOOKUP($B10,Table59[['#]:[Pts]],3,0),0)</f>
        <v>10</v>
      </c>
      <c r="G10">
        <f>IFERROR(VLOOKUP($B10,RD3pts[['#]:[Pts]],3,0),0)</f>
        <v>10</v>
      </c>
      <c r="H10">
        <f>IFERROR(VLOOKUP($B10,Table591317[['#]:[Pts]],3,0),0)</f>
        <v>10</v>
      </c>
      <c r="I10">
        <f>IFERROR(VLOOKUP($B10,Table59131721[['#]:[Pts]],3,0),0)</f>
        <v>0</v>
      </c>
      <c r="J10">
        <f>IFERROR(VLOOKUP($B10,Table5913172125[['#]:[Pts]],3,0),0)</f>
        <v>0</v>
      </c>
      <c r="K10">
        <f>IFERROR(VLOOKUP($B10,Table591317212529[['#]:[Pts]],3,0),0)</f>
        <v>0</v>
      </c>
      <c r="L10">
        <f>IFERROR(VLOOKUP($B10,Table59131721252933[['#]:[Pts]],3,0),0)</f>
        <v>0</v>
      </c>
      <c r="M10">
        <f t="shared" si="2"/>
        <v>40</v>
      </c>
      <c r="N10">
        <f t="shared" si="3"/>
        <v>40.101010100000003</v>
      </c>
      <c r="O10">
        <f t="shared" si="0"/>
        <v>9.3399999999999993E-5</v>
      </c>
      <c r="P10">
        <f t="shared" si="4"/>
        <v>12</v>
      </c>
      <c r="Q10">
        <f t="shared" si="5"/>
        <v>10</v>
      </c>
      <c r="R10">
        <f t="shared" si="6"/>
        <v>12.1</v>
      </c>
      <c r="S10">
        <f t="shared" si="7"/>
        <v>12</v>
      </c>
      <c r="V10">
        <v>9</v>
      </c>
      <c r="W10">
        <f t="shared" si="8"/>
        <v>20</v>
      </c>
      <c r="X10" t="str">
        <f t="shared" si="9"/>
        <v>Ryan</v>
      </c>
      <c r="Y10" t="str">
        <f t="shared" si="10"/>
        <v>Hughes</v>
      </c>
      <c r="Z10">
        <f t="shared" si="11"/>
        <v>0</v>
      </c>
      <c r="AA10">
        <f t="shared" si="12"/>
        <v>0</v>
      </c>
      <c r="AB10">
        <f t="shared" si="13"/>
        <v>30</v>
      </c>
      <c r="AC10">
        <f t="shared" si="14"/>
        <v>20</v>
      </c>
      <c r="AD10">
        <f t="shared" si="15"/>
        <v>0</v>
      </c>
      <c r="AE10">
        <f t="shared" si="16"/>
        <v>0</v>
      </c>
      <c r="AF10">
        <f t="shared" si="17"/>
        <v>0</v>
      </c>
      <c r="AG10">
        <f t="shared" si="18"/>
        <v>0</v>
      </c>
      <c r="AH10">
        <f t="shared" si="19"/>
        <v>50</v>
      </c>
    </row>
    <row r="11" spans="1:34" x14ac:dyDescent="0.3">
      <c r="A11">
        <f t="shared" si="1"/>
        <v>4</v>
      </c>
      <c r="B11">
        <f>Entry!A11</f>
        <v>86</v>
      </c>
      <c r="C11" t="str">
        <f>Entry!B11</f>
        <v>David</v>
      </c>
      <c r="D11" t="str">
        <f>Entry!C11</f>
        <v>Bastin</v>
      </c>
      <c r="E11">
        <f>IFERROR(VLOOKUP($B11,Table5[['#]:[Pts]],3,0),0)</f>
        <v>25</v>
      </c>
      <c r="F11">
        <f>IFERROR(VLOOKUP($B11,Table59[['#]:[Pts]],3,0),0)</f>
        <v>20</v>
      </c>
      <c r="G11">
        <f>IFERROR(VLOOKUP($B11,RD3pts[['#]:[Pts]],3,0),0)</f>
        <v>40</v>
      </c>
      <c r="H11">
        <f>IFERROR(VLOOKUP($B11,Table591317[['#]:[Pts]],3,0),0)</f>
        <v>20</v>
      </c>
      <c r="I11">
        <f>IFERROR(VLOOKUP($B11,Table59131721[['#]:[Pts]],3,0),0)</f>
        <v>0</v>
      </c>
      <c r="J11">
        <f>IFERROR(VLOOKUP($B11,Table5913172125[['#]:[Pts]],3,0),0)</f>
        <v>0</v>
      </c>
      <c r="K11">
        <f>IFERROR(VLOOKUP($B11,Table591317212529[['#]:[Pts]],3,0),0)</f>
        <v>0</v>
      </c>
      <c r="L11">
        <f>IFERROR(VLOOKUP($B11,Table59131721252933[['#]:[Pts]],3,0),0)</f>
        <v>0</v>
      </c>
      <c r="M11">
        <f t="shared" si="2"/>
        <v>105</v>
      </c>
      <c r="N11">
        <f t="shared" si="3"/>
        <v>105.40252020000001</v>
      </c>
      <c r="O11">
        <f t="shared" si="0"/>
        <v>9.1399999999999999E-5</v>
      </c>
      <c r="P11">
        <f t="shared" si="4"/>
        <v>4</v>
      </c>
      <c r="Q11">
        <f t="shared" si="5"/>
        <v>11</v>
      </c>
      <c r="R11">
        <f t="shared" si="6"/>
        <v>4.1100000000000003</v>
      </c>
      <c r="S11">
        <f t="shared" si="7"/>
        <v>4</v>
      </c>
      <c r="V11">
        <v>10</v>
      </c>
      <c r="W11">
        <f t="shared" si="8"/>
        <v>26</v>
      </c>
      <c r="X11" t="str">
        <f t="shared" si="9"/>
        <v>Haydn</v>
      </c>
      <c r="Y11" t="str">
        <f t="shared" si="10"/>
        <v>Cruickshank</v>
      </c>
      <c r="Z11">
        <f t="shared" si="11"/>
        <v>20</v>
      </c>
      <c r="AA11">
        <f t="shared" si="12"/>
        <v>10</v>
      </c>
      <c r="AB11">
        <f t="shared" si="13"/>
        <v>10</v>
      </c>
      <c r="AC11">
        <f t="shared" si="14"/>
        <v>10</v>
      </c>
      <c r="AD11">
        <f t="shared" si="15"/>
        <v>0</v>
      </c>
      <c r="AE11">
        <f t="shared" si="16"/>
        <v>0</v>
      </c>
      <c r="AF11">
        <f t="shared" si="17"/>
        <v>0</v>
      </c>
      <c r="AG11">
        <f t="shared" si="18"/>
        <v>0</v>
      </c>
      <c r="AH11">
        <f t="shared" si="19"/>
        <v>50</v>
      </c>
    </row>
    <row r="12" spans="1:34" x14ac:dyDescent="0.3">
      <c r="A12">
        <f t="shared" si="1"/>
        <v>5</v>
      </c>
      <c r="B12">
        <f>Entry!A12</f>
        <v>93</v>
      </c>
      <c r="C12" t="str">
        <f>Entry!B12</f>
        <v>Josh</v>
      </c>
      <c r="D12" t="str">
        <f>Entry!C12</f>
        <v>King</v>
      </c>
      <c r="E12">
        <f>IFERROR(VLOOKUP($B12,Table5[['#]:[Pts]],3,0),0)</f>
        <v>10</v>
      </c>
      <c r="F12">
        <f>IFERROR(VLOOKUP($B12,Table59[['#]:[Pts]],3,0),0)</f>
        <v>30</v>
      </c>
      <c r="G12">
        <f>IFERROR(VLOOKUP($B12,RD3pts[['#]:[Pts]],3,0),0)</f>
        <v>10</v>
      </c>
      <c r="H12">
        <f>IFERROR(VLOOKUP($B12,Table591317[['#]:[Pts]],3,0),0)</f>
        <v>25</v>
      </c>
      <c r="I12">
        <f>IFERROR(VLOOKUP($B12,Table59131721[['#]:[Pts]],3,0),0)</f>
        <v>0</v>
      </c>
      <c r="J12">
        <f>IFERROR(VLOOKUP($B12,Table5913172125[['#]:[Pts]],3,0),0)</f>
        <v>0</v>
      </c>
      <c r="K12">
        <f>IFERROR(VLOOKUP($B12,Table591317212529[['#]:[Pts]],3,0),0)</f>
        <v>0</v>
      </c>
      <c r="L12">
        <f>IFERROR(VLOOKUP($B12,Table59131721252933[['#]:[Pts]],3,0),0)</f>
        <v>0</v>
      </c>
      <c r="M12">
        <f t="shared" si="2"/>
        <v>75</v>
      </c>
      <c r="N12">
        <f t="shared" si="3"/>
        <v>75.302510099999992</v>
      </c>
      <c r="O12">
        <f t="shared" si="0"/>
        <v>9.0699999999999996E-5</v>
      </c>
      <c r="P12">
        <f t="shared" si="4"/>
        <v>5</v>
      </c>
      <c r="Q12">
        <f t="shared" si="5"/>
        <v>12</v>
      </c>
      <c r="R12">
        <f t="shared" si="6"/>
        <v>5.12</v>
      </c>
      <c r="S12">
        <f t="shared" si="7"/>
        <v>5</v>
      </c>
      <c r="V12">
        <v>11</v>
      </c>
      <c r="W12">
        <f t="shared" si="8"/>
        <v>420</v>
      </c>
      <c r="X12" t="str">
        <f t="shared" si="9"/>
        <v>Harry</v>
      </c>
      <c r="Y12" t="str">
        <f t="shared" si="10"/>
        <v>Love</v>
      </c>
      <c r="Z12">
        <f t="shared" si="11"/>
        <v>20</v>
      </c>
      <c r="AA12">
        <f t="shared" si="12"/>
        <v>10</v>
      </c>
      <c r="AB12">
        <f t="shared" si="13"/>
        <v>10</v>
      </c>
      <c r="AC12">
        <f t="shared" si="14"/>
        <v>10</v>
      </c>
      <c r="AD12">
        <f t="shared" si="15"/>
        <v>0</v>
      </c>
      <c r="AE12">
        <f t="shared" si="16"/>
        <v>0</v>
      </c>
      <c r="AF12">
        <f t="shared" si="17"/>
        <v>0</v>
      </c>
      <c r="AG12">
        <f t="shared" si="18"/>
        <v>0</v>
      </c>
      <c r="AH12">
        <f t="shared" si="19"/>
        <v>50</v>
      </c>
    </row>
    <row r="13" spans="1:34" x14ac:dyDescent="0.3">
      <c r="A13">
        <f t="shared" si="1"/>
        <v>7</v>
      </c>
      <c r="B13">
        <f>Entry!A13</f>
        <v>94</v>
      </c>
      <c r="C13" t="str">
        <f>Entry!B13</f>
        <v>Paul</v>
      </c>
      <c r="D13" t="str">
        <f>Entry!C13</f>
        <v>Cunnington</v>
      </c>
      <c r="E13">
        <f>IFERROR(VLOOKUP($B13,Table5[['#]:[Pts]],3,0),0)</f>
        <v>30</v>
      </c>
      <c r="F13">
        <f>IFERROR(VLOOKUP($B13,Table59[['#]:[Pts]],3,0),0)</f>
        <v>25</v>
      </c>
      <c r="G13">
        <f>IFERROR(VLOOKUP($B13,RD3pts[['#]:[Pts]],3,0),0)</f>
        <v>10</v>
      </c>
      <c r="H13">
        <f>IFERROR(VLOOKUP($B13,Table591317[['#]:[Pts]],3,0),0)</f>
        <v>1</v>
      </c>
      <c r="I13">
        <f>IFERROR(VLOOKUP($B13,Table59131721[['#]:[Pts]],3,0),0)</f>
        <v>0</v>
      </c>
      <c r="J13">
        <f>IFERROR(VLOOKUP($B13,Table5913172125[['#]:[Pts]],3,0),0)</f>
        <v>0</v>
      </c>
      <c r="K13">
        <f>IFERROR(VLOOKUP($B13,Table591317212529[['#]:[Pts]],3,0),0)</f>
        <v>0</v>
      </c>
      <c r="L13">
        <f>IFERROR(VLOOKUP($B13,Table59131721252933[['#]:[Pts]],3,0),0)</f>
        <v>0</v>
      </c>
      <c r="M13">
        <f t="shared" si="2"/>
        <v>66</v>
      </c>
      <c r="N13">
        <f t="shared" si="3"/>
        <v>66.302510009999992</v>
      </c>
      <c r="O13">
        <f t="shared" si="0"/>
        <v>9.0600000000000007E-5</v>
      </c>
      <c r="P13">
        <f t="shared" si="4"/>
        <v>7</v>
      </c>
      <c r="Q13">
        <f t="shared" si="5"/>
        <v>13</v>
      </c>
      <c r="R13">
        <f t="shared" si="6"/>
        <v>7.13</v>
      </c>
      <c r="S13">
        <f t="shared" si="7"/>
        <v>7</v>
      </c>
      <c r="V13">
        <v>12</v>
      </c>
      <c r="W13">
        <f t="shared" si="8"/>
        <v>66</v>
      </c>
      <c r="X13" t="str">
        <f t="shared" si="9"/>
        <v>Andy</v>
      </c>
      <c r="Y13" t="str">
        <f t="shared" si="10"/>
        <v>Frost</v>
      </c>
      <c r="Z13">
        <f t="shared" si="11"/>
        <v>10</v>
      </c>
      <c r="AA13">
        <f t="shared" si="12"/>
        <v>10</v>
      </c>
      <c r="AB13">
        <f t="shared" si="13"/>
        <v>10</v>
      </c>
      <c r="AC13">
        <f t="shared" si="14"/>
        <v>10</v>
      </c>
      <c r="AD13">
        <f t="shared" si="15"/>
        <v>0</v>
      </c>
      <c r="AE13">
        <f t="shared" si="16"/>
        <v>0</v>
      </c>
      <c r="AF13">
        <f t="shared" si="17"/>
        <v>0</v>
      </c>
      <c r="AG13">
        <f t="shared" si="18"/>
        <v>0</v>
      </c>
      <c r="AH13">
        <f t="shared" si="19"/>
        <v>40</v>
      </c>
    </row>
    <row r="14" spans="1:34" x14ac:dyDescent="0.3">
      <c r="A14">
        <f t="shared" si="1"/>
        <v>13</v>
      </c>
      <c r="B14">
        <f>Entry!A14</f>
        <v>112</v>
      </c>
      <c r="C14" t="str">
        <f>Entry!B14</f>
        <v>Nathan</v>
      </c>
      <c r="D14" t="str">
        <f>Entry!C14</f>
        <v>Chivers</v>
      </c>
      <c r="E14">
        <f>IFERROR(VLOOKUP($B14,Table5[['#]:[Pts]],3,0),0)</f>
        <v>10</v>
      </c>
      <c r="F14">
        <f>IFERROR(VLOOKUP($B14,Table59[['#]:[Pts]],3,0),0)</f>
        <v>10</v>
      </c>
      <c r="G14">
        <f>IFERROR(VLOOKUP($B14,RD3pts[['#]:[Pts]],3,0),0)</f>
        <v>10</v>
      </c>
      <c r="H14">
        <f>IFERROR(VLOOKUP($B14,Table591317[['#]:[Pts]],3,0),0)</f>
        <v>10</v>
      </c>
      <c r="I14">
        <f>IFERROR(VLOOKUP($B14,Table59131721[['#]:[Pts]],3,0),0)</f>
        <v>0</v>
      </c>
      <c r="J14">
        <f>IFERROR(VLOOKUP($B14,Table5913172125[['#]:[Pts]],3,0),0)</f>
        <v>0</v>
      </c>
      <c r="K14">
        <f>IFERROR(VLOOKUP($B14,Table591317212529[['#]:[Pts]],3,0),0)</f>
        <v>0</v>
      </c>
      <c r="L14">
        <f>IFERROR(VLOOKUP($B14,Table59131721252933[['#]:[Pts]],3,0),0)</f>
        <v>0</v>
      </c>
      <c r="M14">
        <f t="shared" si="2"/>
        <v>40</v>
      </c>
      <c r="N14">
        <f t="shared" si="3"/>
        <v>40.101010100000003</v>
      </c>
      <c r="O14">
        <f t="shared" si="0"/>
        <v>8.8800000000000004E-5</v>
      </c>
      <c r="P14">
        <f t="shared" si="4"/>
        <v>12</v>
      </c>
      <c r="Q14">
        <f t="shared" si="5"/>
        <v>14</v>
      </c>
      <c r="R14">
        <f t="shared" si="6"/>
        <v>12.14</v>
      </c>
      <c r="S14">
        <f t="shared" si="7"/>
        <v>13</v>
      </c>
      <c r="V14">
        <v>13</v>
      </c>
      <c r="W14">
        <f t="shared" si="8"/>
        <v>112</v>
      </c>
      <c r="X14" t="str">
        <f t="shared" si="9"/>
        <v>Nathan</v>
      </c>
      <c r="Y14" t="str">
        <f t="shared" si="10"/>
        <v>Chivers</v>
      </c>
      <c r="Z14">
        <f t="shared" si="11"/>
        <v>10</v>
      </c>
      <c r="AA14">
        <f t="shared" si="12"/>
        <v>10</v>
      </c>
      <c r="AB14">
        <f t="shared" si="13"/>
        <v>10</v>
      </c>
      <c r="AC14">
        <f t="shared" si="14"/>
        <v>10</v>
      </c>
      <c r="AD14">
        <f t="shared" si="15"/>
        <v>0</v>
      </c>
      <c r="AE14">
        <f t="shared" si="16"/>
        <v>0</v>
      </c>
      <c r="AF14">
        <f t="shared" si="17"/>
        <v>0</v>
      </c>
      <c r="AG14">
        <f t="shared" si="18"/>
        <v>0</v>
      </c>
      <c r="AH14">
        <f t="shared" si="19"/>
        <v>40</v>
      </c>
    </row>
    <row r="15" spans="1:34" x14ac:dyDescent="0.3">
      <c r="A15">
        <f t="shared" si="1"/>
        <v>2</v>
      </c>
      <c r="B15">
        <f>Entry!A15</f>
        <v>128</v>
      </c>
      <c r="C15" t="str">
        <f>Entry!B15</f>
        <v>Lwi</v>
      </c>
      <c r="D15" t="str">
        <f>Entry!C15</f>
        <v>Edwards</v>
      </c>
      <c r="E15">
        <f>IFERROR(VLOOKUP($B15,Table5[['#]:[Pts]],3,0),0)</f>
        <v>20</v>
      </c>
      <c r="F15">
        <f>IFERROR(VLOOKUP($B15,Table59[['#]:[Pts]],3,0),0)</f>
        <v>50</v>
      </c>
      <c r="G15">
        <f>IFERROR(VLOOKUP($B15,RD3pts[['#]:[Pts]],3,0),0)</f>
        <v>20</v>
      </c>
      <c r="H15">
        <f>IFERROR(VLOOKUP($B15,Table591317[['#]:[Pts]],3,0),0)</f>
        <v>50</v>
      </c>
      <c r="I15">
        <f>IFERROR(VLOOKUP($B15,Table59131721[['#]:[Pts]],3,0),0)</f>
        <v>0</v>
      </c>
      <c r="J15">
        <f>IFERROR(VLOOKUP($B15,Table5913172125[['#]:[Pts]],3,0),0)</f>
        <v>0</v>
      </c>
      <c r="K15">
        <f>IFERROR(VLOOKUP($B15,Table591317212529[['#]:[Pts]],3,0),0)</f>
        <v>0</v>
      </c>
      <c r="L15">
        <f>IFERROR(VLOOKUP($B15,Table59131721252933[['#]:[Pts]],3,0),0)</f>
        <v>0</v>
      </c>
      <c r="M15">
        <f t="shared" si="2"/>
        <v>140</v>
      </c>
      <c r="N15">
        <f t="shared" si="3"/>
        <v>140.50502019999999</v>
      </c>
      <c r="O15">
        <f t="shared" si="0"/>
        <v>8.7200000000000005E-5</v>
      </c>
      <c r="P15">
        <f t="shared" si="4"/>
        <v>2</v>
      </c>
      <c r="Q15">
        <f t="shared" si="5"/>
        <v>15</v>
      </c>
      <c r="R15">
        <f t="shared" si="6"/>
        <v>2.15</v>
      </c>
      <c r="S15">
        <f t="shared" si="7"/>
        <v>2</v>
      </c>
      <c r="V15">
        <v>14</v>
      </c>
      <c r="W15">
        <f t="shared" si="8"/>
        <v>147</v>
      </c>
      <c r="X15" t="str">
        <f t="shared" si="9"/>
        <v>Richie</v>
      </c>
      <c r="Y15" t="str">
        <f t="shared" si="10"/>
        <v>Gilbey</v>
      </c>
      <c r="Z15">
        <f t="shared" si="11"/>
        <v>10</v>
      </c>
      <c r="AA15">
        <f t="shared" si="12"/>
        <v>20</v>
      </c>
      <c r="AB15">
        <f t="shared" si="13"/>
        <v>1</v>
      </c>
      <c r="AC15">
        <f t="shared" si="14"/>
        <v>5</v>
      </c>
      <c r="AD15">
        <f t="shared" si="15"/>
        <v>0</v>
      </c>
      <c r="AE15">
        <f t="shared" si="16"/>
        <v>0</v>
      </c>
      <c r="AF15">
        <f t="shared" si="17"/>
        <v>0</v>
      </c>
      <c r="AG15">
        <f t="shared" si="18"/>
        <v>0</v>
      </c>
      <c r="AH15">
        <f t="shared" si="19"/>
        <v>36</v>
      </c>
    </row>
    <row r="16" spans="1:34" x14ac:dyDescent="0.3">
      <c r="A16">
        <f t="shared" si="1"/>
        <v>14</v>
      </c>
      <c r="B16">
        <f>Entry!A16</f>
        <v>147</v>
      </c>
      <c r="C16" t="str">
        <f>Entry!B16</f>
        <v>Richie</v>
      </c>
      <c r="D16" t="str">
        <f>Entry!C16</f>
        <v>Gilbey</v>
      </c>
      <c r="E16">
        <f>IFERROR(VLOOKUP($B16,Table5[['#]:[Pts]],3,0),0)</f>
        <v>10</v>
      </c>
      <c r="F16">
        <f>IFERROR(VLOOKUP($B16,Table59[['#]:[Pts]],3,0),0)</f>
        <v>20</v>
      </c>
      <c r="G16">
        <f>IFERROR(VLOOKUP($B16,RD3pts[['#]:[Pts]],3,0),0)</f>
        <v>1</v>
      </c>
      <c r="H16">
        <f>IFERROR(VLOOKUP($B16,Table591317[['#]:[Pts]],3,0),0)</f>
        <v>5</v>
      </c>
      <c r="I16">
        <f>IFERROR(VLOOKUP($B16,Table59131721[['#]:[Pts]],3,0),0)</f>
        <v>0</v>
      </c>
      <c r="J16">
        <f>IFERROR(VLOOKUP($B16,Table5913172125[['#]:[Pts]],3,0),0)</f>
        <v>0</v>
      </c>
      <c r="K16">
        <f>IFERROR(VLOOKUP($B16,Table591317212529[['#]:[Pts]],3,0),0)</f>
        <v>0</v>
      </c>
      <c r="L16">
        <f>IFERROR(VLOOKUP($B16,Table59131721252933[['#]:[Pts]],3,0),0)</f>
        <v>0</v>
      </c>
      <c r="M16">
        <f t="shared" si="2"/>
        <v>36</v>
      </c>
      <c r="N16">
        <f t="shared" si="3"/>
        <v>36.201005010000003</v>
      </c>
      <c r="O16">
        <f t="shared" si="0"/>
        <v>8.53E-5</v>
      </c>
      <c r="P16">
        <f t="shared" si="4"/>
        <v>14</v>
      </c>
      <c r="Q16">
        <f t="shared" si="5"/>
        <v>16</v>
      </c>
      <c r="R16">
        <f t="shared" si="6"/>
        <v>14.16</v>
      </c>
      <c r="S16">
        <f t="shared" si="7"/>
        <v>14</v>
      </c>
      <c r="V16">
        <v>15</v>
      </c>
      <c r="W16">
        <f t="shared" si="8"/>
        <v>39</v>
      </c>
      <c r="X16" t="str">
        <f t="shared" si="9"/>
        <v>Paul</v>
      </c>
      <c r="Y16" t="str">
        <f t="shared" si="10"/>
        <v>Beechey</v>
      </c>
      <c r="Z16">
        <f t="shared" si="11"/>
        <v>10</v>
      </c>
      <c r="AA16">
        <f t="shared" si="12"/>
        <v>10</v>
      </c>
      <c r="AB16">
        <f t="shared" si="13"/>
        <v>5</v>
      </c>
      <c r="AC16">
        <f t="shared" si="14"/>
        <v>10</v>
      </c>
      <c r="AD16">
        <f t="shared" si="15"/>
        <v>0</v>
      </c>
      <c r="AE16">
        <f t="shared" si="16"/>
        <v>0</v>
      </c>
      <c r="AF16">
        <f t="shared" si="17"/>
        <v>0</v>
      </c>
      <c r="AG16">
        <f t="shared" si="18"/>
        <v>0</v>
      </c>
      <c r="AH16">
        <f t="shared" si="19"/>
        <v>35</v>
      </c>
    </row>
    <row r="17" spans="1:34" x14ac:dyDescent="0.3">
      <c r="A17">
        <f t="shared" si="1"/>
        <v>18</v>
      </c>
      <c r="B17">
        <f>Entry!A17</f>
        <v>157</v>
      </c>
      <c r="C17" t="str">
        <f>Entry!B17</f>
        <v>George</v>
      </c>
      <c r="D17" t="str">
        <f>Entry!C17</f>
        <v>Barclay</v>
      </c>
      <c r="E17">
        <f>IFERROR(VLOOKUP($B17,Table5[['#]:[Pts]],3,0),0)</f>
        <v>0</v>
      </c>
      <c r="F17">
        <f>IFERROR(VLOOKUP($B17,Table59[['#]:[Pts]],3,0),0)</f>
        <v>0</v>
      </c>
      <c r="G17">
        <f>IFERROR(VLOOKUP($B17,RD3pts[['#]:[Pts]],3,0),0)</f>
        <v>10</v>
      </c>
      <c r="H17">
        <f>IFERROR(VLOOKUP($B17,Table591317[['#]:[Pts]],3,0),0)</f>
        <v>10</v>
      </c>
      <c r="I17">
        <f>IFERROR(VLOOKUP($B17,Table59131721[['#]:[Pts]],3,0),0)</f>
        <v>0</v>
      </c>
      <c r="J17">
        <f>IFERROR(VLOOKUP($B17,Table5913172125[['#]:[Pts]],3,0),0)</f>
        <v>0</v>
      </c>
      <c r="K17">
        <f>IFERROR(VLOOKUP($B17,Table591317212529[['#]:[Pts]],3,0),0)</f>
        <v>0</v>
      </c>
      <c r="L17">
        <f>IFERROR(VLOOKUP($B17,Table59131721252933[['#]:[Pts]],3,0),0)</f>
        <v>0</v>
      </c>
      <c r="M17">
        <f t="shared" si="2"/>
        <v>20</v>
      </c>
      <c r="N17">
        <f t="shared" si="3"/>
        <v>20.101000000000003</v>
      </c>
      <c r="O17">
        <f t="shared" si="0"/>
        <v>8.4300000000000003E-5</v>
      </c>
      <c r="P17">
        <f t="shared" si="4"/>
        <v>18</v>
      </c>
      <c r="Q17">
        <f t="shared" si="5"/>
        <v>17</v>
      </c>
      <c r="R17">
        <f t="shared" si="6"/>
        <v>18.170000000000002</v>
      </c>
      <c r="S17">
        <f t="shared" si="7"/>
        <v>18</v>
      </c>
      <c r="V17">
        <v>16</v>
      </c>
      <c r="W17">
        <f t="shared" si="8"/>
        <v>56</v>
      </c>
      <c r="X17" t="str">
        <f t="shared" si="9"/>
        <v>Jonathan</v>
      </c>
      <c r="Y17" t="str">
        <f t="shared" si="10"/>
        <v>Smith</v>
      </c>
      <c r="Z17">
        <f t="shared" si="11"/>
        <v>0</v>
      </c>
      <c r="AA17">
        <f t="shared" si="12"/>
        <v>0</v>
      </c>
      <c r="AB17">
        <f t="shared" si="13"/>
        <v>20</v>
      </c>
      <c r="AC17">
        <f t="shared" si="14"/>
        <v>10</v>
      </c>
      <c r="AD17">
        <f t="shared" si="15"/>
        <v>0</v>
      </c>
      <c r="AE17">
        <f t="shared" si="16"/>
        <v>0</v>
      </c>
      <c r="AF17">
        <f t="shared" si="17"/>
        <v>0</v>
      </c>
      <c r="AG17">
        <f t="shared" si="18"/>
        <v>0</v>
      </c>
      <c r="AH17">
        <f t="shared" si="19"/>
        <v>30</v>
      </c>
    </row>
    <row r="18" spans="1:34" x14ac:dyDescent="0.3">
      <c r="A18">
        <f t="shared" si="1"/>
        <v>24</v>
      </c>
      <c r="B18">
        <f>Entry!A18</f>
        <v>191</v>
      </c>
      <c r="C18" t="str">
        <f>Entry!B18</f>
        <v>Olly</v>
      </c>
      <c r="D18" t="str">
        <f>Entry!C18</f>
        <v>Bolton</v>
      </c>
      <c r="E18">
        <f>IFERROR(VLOOKUP($B18,Table5[['#]:[Pts]],3,0),0)</f>
        <v>0</v>
      </c>
      <c r="F18">
        <f>IFERROR(VLOOKUP($B18,Table59[['#]:[Pts]],3,0),0)</f>
        <v>0</v>
      </c>
      <c r="G18">
        <f>IFERROR(VLOOKUP($B18,RD3pts[['#]:[Pts]],3,0),0)</f>
        <v>0</v>
      </c>
      <c r="H18">
        <f>IFERROR(VLOOKUP($B18,Table591317[['#]:[Pts]],3,0),0)</f>
        <v>0</v>
      </c>
      <c r="I18">
        <f>IFERROR(VLOOKUP($B18,Table59131721[['#]:[Pts]],3,0),0)</f>
        <v>0</v>
      </c>
      <c r="J18">
        <f>IFERROR(VLOOKUP($B18,Table5913172125[['#]:[Pts]],3,0),0)</f>
        <v>0</v>
      </c>
      <c r="K18">
        <f>IFERROR(VLOOKUP($B18,Table591317212529[['#]:[Pts]],3,0),0)</f>
        <v>0</v>
      </c>
      <c r="L18">
        <f>IFERROR(VLOOKUP($B18,Table59131721252933[['#]:[Pts]],3,0),0)</f>
        <v>0</v>
      </c>
      <c r="M18">
        <f t="shared" si="2"/>
        <v>0</v>
      </c>
      <c r="N18">
        <f t="shared" si="3"/>
        <v>0</v>
      </c>
      <c r="O18">
        <f t="shared" si="0"/>
        <v>8.0900000000000001E-5</v>
      </c>
      <c r="P18">
        <f t="shared" si="4"/>
        <v>23</v>
      </c>
      <c r="Q18">
        <f t="shared" si="5"/>
        <v>18</v>
      </c>
      <c r="R18">
        <f t="shared" si="6"/>
        <v>23.18</v>
      </c>
      <c r="S18">
        <f t="shared" si="7"/>
        <v>24</v>
      </c>
      <c r="V18">
        <v>17</v>
      </c>
      <c r="W18">
        <f t="shared" si="8"/>
        <v>366</v>
      </c>
      <c r="X18" t="str">
        <f t="shared" si="9"/>
        <v>Micheal</v>
      </c>
      <c r="Y18" t="str">
        <f t="shared" si="10"/>
        <v>Bennett</v>
      </c>
      <c r="Z18">
        <f t="shared" si="11"/>
        <v>10</v>
      </c>
      <c r="AA18">
        <f t="shared" si="12"/>
        <v>20</v>
      </c>
      <c r="AB18">
        <f t="shared" si="13"/>
        <v>0</v>
      </c>
      <c r="AC18">
        <f t="shared" si="14"/>
        <v>0</v>
      </c>
      <c r="AD18">
        <f t="shared" si="15"/>
        <v>0</v>
      </c>
      <c r="AE18">
        <f t="shared" si="16"/>
        <v>0</v>
      </c>
      <c r="AF18">
        <f t="shared" si="17"/>
        <v>0</v>
      </c>
      <c r="AG18">
        <f t="shared" si="18"/>
        <v>0</v>
      </c>
      <c r="AH18">
        <f t="shared" si="19"/>
        <v>30</v>
      </c>
    </row>
    <row r="19" spans="1:34" x14ac:dyDescent="0.3">
      <c r="A19">
        <f t="shared" si="1"/>
        <v>8</v>
      </c>
      <c r="B19">
        <f>Entry!A19</f>
        <v>265</v>
      </c>
      <c r="C19" t="str">
        <f>Entry!B19</f>
        <v>Axel</v>
      </c>
      <c r="D19" t="str">
        <f>Entry!C19</f>
        <v>Hildebrand</v>
      </c>
      <c r="E19">
        <f>IFERROR(VLOOKUP($B19,Table5[['#]:[Pts]],3,0),0)</f>
        <v>1</v>
      </c>
      <c r="F19">
        <f>IFERROR(VLOOKUP($B19,Table59[['#]:[Pts]],3,0),0)</f>
        <v>1</v>
      </c>
      <c r="G19">
        <f>IFERROR(VLOOKUP($B19,RD3pts[['#]:[Pts]],3,0),0)</f>
        <v>20</v>
      </c>
      <c r="H19">
        <f>IFERROR(VLOOKUP($B19,Table591317[['#]:[Pts]],3,0),0)</f>
        <v>40</v>
      </c>
      <c r="I19">
        <f>IFERROR(VLOOKUP($B19,Table59131721[['#]:[Pts]],3,0),0)</f>
        <v>0</v>
      </c>
      <c r="J19">
        <f>IFERROR(VLOOKUP($B19,Table5913172125[['#]:[Pts]],3,0),0)</f>
        <v>0</v>
      </c>
      <c r="K19">
        <f>IFERROR(VLOOKUP($B19,Table591317212529[['#]:[Pts]],3,0),0)</f>
        <v>0</v>
      </c>
      <c r="L19">
        <f>IFERROR(VLOOKUP($B19,Table59131721252933[['#]:[Pts]],3,0),0)</f>
        <v>0</v>
      </c>
      <c r="M19">
        <f t="shared" si="2"/>
        <v>62</v>
      </c>
      <c r="N19">
        <f t="shared" si="3"/>
        <v>62.402001009999999</v>
      </c>
      <c r="O19">
        <f t="shared" si="0"/>
        <v>7.3499999999999998E-5</v>
      </c>
      <c r="P19">
        <f t="shared" si="4"/>
        <v>8</v>
      </c>
      <c r="Q19">
        <f t="shared" si="5"/>
        <v>20</v>
      </c>
      <c r="R19">
        <f t="shared" si="6"/>
        <v>8.1999999999999993</v>
      </c>
      <c r="S19">
        <f t="shared" si="7"/>
        <v>8</v>
      </c>
      <c r="V19">
        <v>18</v>
      </c>
      <c r="W19">
        <f t="shared" si="8"/>
        <v>157</v>
      </c>
      <c r="X19" t="str">
        <f t="shared" si="9"/>
        <v>George</v>
      </c>
      <c r="Y19" t="str">
        <f t="shared" si="10"/>
        <v>Barclay</v>
      </c>
      <c r="Z19">
        <f t="shared" si="11"/>
        <v>0</v>
      </c>
      <c r="AA19">
        <f t="shared" si="12"/>
        <v>0</v>
      </c>
      <c r="AB19">
        <f t="shared" si="13"/>
        <v>10</v>
      </c>
      <c r="AC19">
        <f t="shared" si="14"/>
        <v>10</v>
      </c>
      <c r="AD19">
        <f t="shared" si="15"/>
        <v>0</v>
      </c>
      <c r="AE19">
        <f t="shared" si="16"/>
        <v>0</v>
      </c>
      <c r="AF19">
        <f t="shared" si="17"/>
        <v>0</v>
      </c>
      <c r="AG19">
        <f t="shared" si="18"/>
        <v>0</v>
      </c>
      <c r="AH19">
        <f t="shared" si="19"/>
        <v>20</v>
      </c>
    </row>
    <row r="20" spans="1:34" x14ac:dyDescent="0.3">
      <c r="A20">
        <f t="shared" si="1"/>
        <v>20</v>
      </c>
      <c r="B20">
        <f>Entry!A20</f>
        <v>353</v>
      </c>
      <c r="C20" t="str">
        <f>Entry!B20</f>
        <v>Liam</v>
      </c>
      <c r="D20" t="str">
        <f>Entry!C20</f>
        <v>Lawrence</v>
      </c>
      <c r="E20">
        <f>IFERROR(VLOOKUP($B20,Table5[['#]:[Pts]],3,0),0)</f>
        <v>0</v>
      </c>
      <c r="F20">
        <f>IFERROR(VLOOKUP($B20,Table59[['#]:[Pts]],3,0),0)</f>
        <v>0</v>
      </c>
      <c r="G20">
        <f>IFERROR(VLOOKUP($B20,RD3pts[['#]:[Pts]],3,0),0)</f>
        <v>5</v>
      </c>
      <c r="H20">
        <f>IFERROR(VLOOKUP($B20,Table591317[['#]:[Pts]],3,0),0)</f>
        <v>10</v>
      </c>
      <c r="I20">
        <f>IFERROR(VLOOKUP($B20,Table59131721[['#]:[Pts]],3,0),0)</f>
        <v>0</v>
      </c>
      <c r="J20">
        <f>IFERROR(VLOOKUP($B20,Table5913172125[['#]:[Pts]],3,0),0)</f>
        <v>0</v>
      </c>
      <c r="K20">
        <f>IFERROR(VLOOKUP($B20,Table591317212529[['#]:[Pts]],3,0),0)</f>
        <v>0</v>
      </c>
      <c r="L20">
        <f>IFERROR(VLOOKUP($B20,Table59131721252933[['#]:[Pts]],3,0),0)</f>
        <v>0</v>
      </c>
      <c r="M20">
        <f t="shared" si="2"/>
        <v>15</v>
      </c>
      <c r="N20">
        <f t="shared" si="3"/>
        <v>15.1005</v>
      </c>
      <c r="O20">
        <f t="shared" si="0"/>
        <v>6.4700000000000001E-5</v>
      </c>
      <c r="P20">
        <f t="shared" si="4"/>
        <v>20</v>
      </c>
      <c r="Q20">
        <f t="shared" si="5"/>
        <v>21</v>
      </c>
      <c r="R20">
        <f t="shared" si="6"/>
        <v>20.21</v>
      </c>
      <c r="S20">
        <f t="shared" si="7"/>
        <v>20</v>
      </c>
      <c r="V20">
        <v>19</v>
      </c>
      <c r="W20">
        <f t="shared" si="8"/>
        <v>206</v>
      </c>
      <c r="X20" t="str">
        <f t="shared" si="9"/>
        <v>Matthew</v>
      </c>
      <c r="Y20" t="str">
        <f t="shared" si="10"/>
        <v>Roberts</v>
      </c>
      <c r="Z20">
        <f t="shared" si="11"/>
        <v>0</v>
      </c>
      <c r="AA20">
        <f t="shared" si="12"/>
        <v>0</v>
      </c>
      <c r="AB20">
        <f t="shared" si="13"/>
        <v>10</v>
      </c>
      <c r="AC20">
        <f t="shared" si="14"/>
        <v>10</v>
      </c>
      <c r="AD20">
        <f t="shared" si="15"/>
        <v>0</v>
      </c>
      <c r="AE20">
        <f t="shared" si="16"/>
        <v>0</v>
      </c>
      <c r="AF20">
        <f t="shared" si="17"/>
        <v>0</v>
      </c>
      <c r="AG20">
        <f t="shared" si="18"/>
        <v>0</v>
      </c>
      <c r="AH20">
        <f t="shared" si="19"/>
        <v>20</v>
      </c>
    </row>
    <row r="21" spans="1:34" x14ac:dyDescent="0.3">
      <c r="A21">
        <f t="shared" si="1"/>
        <v>17</v>
      </c>
      <c r="B21">
        <f>Entry!A21</f>
        <v>366</v>
      </c>
      <c r="C21" t="str">
        <f>Entry!B21</f>
        <v>Micheal</v>
      </c>
      <c r="D21" t="str">
        <f>Entry!C21</f>
        <v>Bennett</v>
      </c>
      <c r="E21">
        <f>IFERROR(VLOOKUP($B21,Table5[['#]:[Pts]],3,0),0)</f>
        <v>10</v>
      </c>
      <c r="F21">
        <f>IFERROR(VLOOKUP($B21,Table59[['#]:[Pts]],3,0),0)</f>
        <v>20</v>
      </c>
      <c r="G21">
        <f>IFERROR(VLOOKUP($B21,RD3pts[['#]:[Pts]],3,0),0)</f>
        <v>0</v>
      </c>
      <c r="H21">
        <f>IFERROR(VLOOKUP($B21,Table591317[['#]:[Pts]],3,0),0)</f>
        <v>0</v>
      </c>
      <c r="I21">
        <f>IFERROR(VLOOKUP($B21,Table59131721[['#]:[Pts]],3,0),0)</f>
        <v>0</v>
      </c>
      <c r="J21">
        <f>IFERROR(VLOOKUP($B21,Table5913172125[['#]:[Pts]],3,0),0)</f>
        <v>0</v>
      </c>
      <c r="K21">
        <f>IFERROR(VLOOKUP($B21,Table591317212529[['#]:[Pts]],3,0),0)</f>
        <v>0</v>
      </c>
      <c r="L21">
        <f>IFERROR(VLOOKUP($B21,Table59131721252933[['#]:[Pts]],3,0),0)</f>
        <v>0</v>
      </c>
      <c r="M21">
        <f t="shared" si="2"/>
        <v>30</v>
      </c>
      <c r="N21">
        <f t="shared" si="3"/>
        <v>30.201000000000001</v>
      </c>
      <c r="O21">
        <f t="shared" si="0"/>
        <v>6.3399999999999996E-5</v>
      </c>
      <c r="P21">
        <f t="shared" si="4"/>
        <v>16</v>
      </c>
      <c r="Q21">
        <f t="shared" si="5"/>
        <v>22</v>
      </c>
      <c r="R21">
        <f t="shared" si="6"/>
        <v>16.22</v>
      </c>
      <c r="S21">
        <f t="shared" si="7"/>
        <v>17</v>
      </c>
      <c r="V21">
        <v>20</v>
      </c>
      <c r="W21">
        <f t="shared" si="8"/>
        <v>353</v>
      </c>
      <c r="X21" t="str">
        <f t="shared" si="9"/>
        <v>Liam</v>
      </c>
      <c r="Y21" t="str">
        <f t="shared" si="10"/>
        <v>Lawrence</v>
      </c>
      <c r="Z21">
        <f t="shared" si="11"/>
        <v>0</v>
      </c>
      <c r="AA21">
        <f t="shared" si="12"/>
        <v>0</v>
      </c>
      <c r="AB21">
        <f t="shared" si="13"/>
        <v>5</v>
      </c>
      <c r="AC21">
        <f t="shared" si="14"/>
        <v>10</v>
      </c>
      <c r="AD21">
        <f t="shared" si="15"/>
        <v>0</v>
      </c>
      <c r="AE21">
        <f t="shared" si="16"/>
        <v>0</v>
      </c>
      <c r="AF21">
        <f t="shared" si="17"/>
        <v>0</v>
      </c>
      <c r="AG21">
        <f t="shared" si="18"/>
        <v>0</v>
      </c>
      <c r="AH21">
        <f t="shared" si="19"/>
        <v>15</v>
      </c>
    </row>
    <row r="22" spans="1:34" x14ac:dyDescent="0.3">
      <c r="A22">
        <f t="shared" si="1"/>
        <v>11</v>
      </c>
      <c r="B22">
        <f>Entry!A22</f>
        <v>420</v>
      </c>
      <c r="C22" t="str">
        <f>Entry!B22</f>
        <v>Harry</v>
      </c>
      <c r="D22" t="str">
        <f>Entry!C22</f>
        <v>Love</v>
      </c>
      <c r="E22">
        <f>IFERROR(VLOOKUP($B22,Table5[['#]:[Pts]],3,0),0)</f>
        <v>20</v>
      </c>
      <c r="F22">
        <f>IFERROR(VLOOKUP($B22,Table59[['#]:[Pts]],3,0),0)</f>
        <v>10</v>
      </c>
      <c r="G22">
        <f>IFERROR(VLOOKUP($B22,RD3pts[['#]:[Pts]],3,0),0)</f>
        <v>10</v>
      </c>
      <c r="H22">
        <f>IFERROR(VLOOKUP($B22,Table591317[['#]:[Pts]],3,0),0)</f>
        <v>10</v>
      </c>
      <c r="I22">
        <f>IFERROR(VLOOKUP($B22,Table59131721[['#]:[Pts]],3,0),0)</f>
        <v>0</v>
      </c>
      <c r="J22">
        <f>IFERROR(VLOOKUP($B22,Table5913172125[['#]:[Pts]],3,0),0)</f>
        <v>0</v>
      </c>
      <c r="K22">
        <f>IFERROR(VLOOKUP($B22,Table591317212529[['#]:[Pts]],3,0),0)</f>
        <v>0</v>
      </c>
      <c r="L22">
        <f>IFERROR(VLOOKUP($B22,Table59131721252933[['#]:[Pts]],3,0),0)</f>
        <v>0</v>
      </c>
      <c r="M22">
        <f t="shared" si="2"/>
        <v>50</v>
      </c>
      <c r="N22">
        <f t="shared" si="3"/>
        <v>50.201010100000005</v>
      </c>
      <c r="O22">
        <f t="shared" si="0"/>
        <v>5.8E-5</v>
      </c>
      <c r="P22">
        <f t="shared" si="4"/>
        <v>10</v>
      </c>
      <c r="Q22">
        <f t="shared" si="5"/>
        <v>23</v>
      </c>
      <c r="R22">
        <f t="shared" si="6"/>
        <v>10.23</v>
      </c>
      <c r="S22">
        <f t="shared" si="7"/>
        <v>11</v>
      </c>
      <c r="V22">
        <v>21</v>
      </c>
      <c r="W22">
        <f t="shared" si="8"/>
        <v>22</v>
      </c>
      <c r="X22" t="str">
        <f t="shared" si="9"/>
        <v>Joel</v>
      </c>
      <c r="Y22" t="str">
        <f t="shared" si="10"/>
        <v>Conlan</v>
      </c>
      <c r="Z22">
        <f t="shared" si="11"/>
        <v>1</v>
      </c>
      <c r="AA22">
        <f t="shared" si="12"/>
        <v>1</v>
      </c>
      <c r="AB22">
        <f t="shared" si="13"/>
        <v>0</v>
      </c>
      <c r="AC22">
        <f t="shared" si="14"/>
        <v>0</v>
      </c>
      <c r="AD22">
        <f t="shared" si="15"/>
        <v>0</v>
      </c>
      <c r="AE22">
        <f t="shared" si="16"/>
        <v>0</v>
      </c>
      <c r="AF22">
        <f t="shared" si="17"/>
        <v>0</v>
      </c>
      <c r="AG22">
        <f t="shared" si="18"/>
        <v>0</v>
      </c>
      <c r="AH22">
        <f t="shared" si="19"/>
        <v>2</v>
      </c>
    </row>
    <row r="23" spans="1:34" x14ac:dyDescent="0.3">
      <c r="A23">
        <f t="shared" si="1"/>
        <v>22</v>
      </c>
      <c r="B23">
        <f>Entry!A23</f>
        <v>666</v>
      </c>
      <c r="C23" t="str">
        <f>Entry!B23</f>
        <v>Ryan</v>
      </c>
      <c r="D23" t="str">
        <f>Entry!C23</f>
        <v>Toporowski</v>
      </c>
      <c r="E23">
        <f>IFERROR(VLOOKUP($B23,Table5[['#]:[Pts]],3,0),0)</f>
        <v>1</v>
      </c>
      <c r="F23">
        <f>IFERROR(VLOOKUP($B23,Table59[['#]:[Pts]],3,0),0)</f>
        <v>1</v>
      </c>
      <c r="G23">
        <f>IFERROR(VLOOKUP($B23,RD3pts[['#]:[Pts]],3,0),0)</f>
        <v>0</v>
      </c>
      <c r="H23">
        <f>IFERROR(VLOOKUP($B23,Table591317[['#]:[Pts]],3,0),0)</f>
        <v>0</v>
      </c>
      <c r="I23">
        <f>IFERROR(VLOOKUP($B23,Table59131721[['#]:[Pts]],3,0),0)</f>
        <v>0</v>
      </c>
      <c r="J23">
        <f>IFERROR(VLOOKUP($B23,Table5913172125[['#]:[Pts]],3,0),0)</f>
        <v>0</v>
      </c>
      <c r="K23">
        <f>IFERROR(VLOOKUP($B23,Table591317212529[['#]:[Pts]],3,0),0)</f>
        <v>0</v>
      </c>
      <c r="L23">
        <f>IFERROR(VLOOKUP($B23,Table59131721252933[['#]:[Pts]],3,0),0)</f>
        <v>0</v>
      </c>
      <c r="M23">
        <f t="shared" si="2"/>
        <v>2</v>
      </c>
      <c r="N23">
        <f t="shared" si="3"/>
        <v>2.0101</v>
      </c>
      <c r="O23">
        <f t="shared" si="0"/>
        <v>3.3399999999999999E-5</v>
      </c>
      <c r="P23">
        <f t="shared" si="4"/>
        <v>21</v>
      </c>
      <c r="Q23">
        <f t="shared" si="5"/>
        <v>24</v>
      </c>
      <c r="R23">
        <f t="shared" si="6"/>
        <v>21.24</v>
      </c>
      <c r="S23">
        <f t="shared" si="7"/>
        <v>22</v>
      </c>
      <c r="V23">
        <v>22</v>
      </c>
      <c r="W23">
        <f t="shared" si="8"/>
        <v>666</v>
      </c>
      <c r="X23" t="str">
        <f t="shared" si="9"/>
        <v>Ryan</v>
      </c>
      <c r="Y23" t="str">
        <f t="shared" si="10"/>
        <v>Toporowski</v>
      </c>
      <c r="Z23">
        <f t="shared" si="11"/>
        <v>1</v>
      </c>
      <c r="AA23">
        <f t="shared" si="12"/>
        <v>1</v>
      </c>
      <c r="AB23">
        <f t="shared" si="13"/>
        <v>0</v>
      </c>
      <c r="AC23">
        <f t="shared" si="14"/>
        <v>0</v>
      </c>
      <c r="AD23">
        <f t="shared" si="15"/>
        <v>0</v>
      </c>
      <c r="AE23">
        <f t="shared" si="16"/>
        <v>0</v>
      </c>
      <c r="AF23">
        <f t="shared" si="17"/>
        <v>0</v>
      </c>
      <c r="AG23">
        <f t="shared" si="18"/>
        <v>0</v>
      </c>
      <c r="AH23">
        <f t="shared" si="19"/>
        <v>2</v>
      </c>
    </row>
    <row r="24" spans="1:34" x14ac:dyDescent="0.3">
      <c r="A24">
        <f t="shared" si="1"/>
        <v>9</v>
      </c>
      <c r="B24">
        <f>Entry!A24</f>
        <v>20</v>
      </c>
      <c r="C24" t="str">
        <f>Entry!B24</f>
        <v>Ryan</v>
      </c>
      <c r="D24" t="str">
        <f>Entry!C24</f>
        <v>Hughes</v>
      </c>
      <c r="E24">
        <f>IFERROR(VLOOKUP($B24,Table5[['#]:[Pts]],3,0),0)</f>
        <v>0</v>
      </c>
      <c r="F24">
        <f>IFERROR(VLOOKUP($B24,Table59[['#]:[Pts]],3,0),0)</f>
        <v>0</v>
      </c>
      <c r="G24">
        <f>IFERROR(VLOOKUP($B24,RD3pts[['#]:[Pts]],3,0),0)</f>
        <v>30</v>
      </c>
      <c r="H24">
        <f>IFERROR(VLOOKUP($B24,Table591317[['#]:[Pts]],3,0),0)</f>
        <v>20</v>
      </c>
      <c r="I24">
        <f>IFERROR(VLOOKUP($B24,Table59131721[['#]:[Pts]],3,0),0)</f>
        <v>0</v>
      </c>
      <c r="J24">
        <f>IFERROR(VLOOKUP($B24,Table5913172125[['#]:[Pts]],3,0),0)</f>
        <v>0</v>
      </c>
      <c r="K24">
        <f>IFERROR(VLOOKUP($B24,Table591317212529[['#]:[Pts]],3,0),0)</f>
        <v>0</v>
      </c>
      <c r="L24">
        <f>IFERROR(VLOOKUP($B24,Table59131721252933[['#]:[Pts]],3,0),0)</f>
        <v>0</v>
      </c>
      <c r="M24">
        <f t="shared" si="2"/>
        <v>50</v>
      </c>
      <c r="N24">
        <f t="shared" si="3"/>
        <v>50.302</v>
      </c>
      <c r="O24">
        <f>LARGE(E24:L24,6)+LARGE(E24:L24,7)/100+LARGE(E24:L24,8)/10000+IF(B24=0,0,(1000-B24)/10000000)</f>
        <v>9.7999999999999997E-5</v>
      </c>
      <c r="P24">
        <f t="shared" si="4"/>
        <v>9</v>
      </c>
      <c r="Q24">
        <f t="shared" si="5"/>
        <v>2</v>
      </c>
      <c r="R24">
        <f t="shared" si="6"/>
        <v>9.02</v>
      </c>
      <c r="S24">
        <f t="shared" si="7"/>
        <v>9</v>
      </c>
      <c r="V24">
        <v>23</v>
      </c>
      <c r="W24">
        <f t="shared" si="8"/>
        <v>18</v>
      </c>
      <c r="X24" t="str">
        <f t="shared" si="9"/>
        <v>Matthew</v>
      </c>
      <c r="Y24" t="str">
        <f t="shared" si="10"/>
        <v>Denham</v>
      </c>
      <c r="Z24">
        <f t="shared" si="11"/>
        <v>0</v>
      </c>
      <c r="AA24">
        <f t="shared" si="12"/>
        <v>0</v>
      </c>
      <c r="AB24">
        <f t="shared" si="13"/>
        <v>0</v>
      </c>
      <c r="AC24">
        <f t="shared" si="14"/>
        <v>0</v>
      </c>
      <c r="AD24">
        <f t="shared" si="15"/>
        <v>0</v>
      </c>
      <c r="AE24">
        <f t="shared" si="16"/>
        <v>0</v>
      </c>
      <c r="AF24">
        <f t="shared" si="17"/>
        <v>0</v>
      </c>
      <c r="AG24">
        <f t="shared" si="18"/>
        <v>0</v>
      </c>
      <c r="AH24">
        <f t="shared" si="19"/>
        <v>0</v>
      </c>
    </row>
    <row r="25" spans="1:34" x14ac:dyDescent="0.3">
      <c r="A25">
        <f t="shared" si="1"/>
        <v>19</v>
      </c>
      <c r="B25">
        <f>Entry!A25</f>
        <v>206</v>
      </c>
      <c r="C25" t="str">
        <f>Entry!B25</f>
        <v>Matthew</v>
      </c>
      <c r="D25" t="str">
        <f>Entry!C25</f>
        <v>Roberts</v>
      </c>
      <c r="E25">
        <f>IFERROR(VLOOKUP($B25,Table5[['#]:[Pts]],3,0),0)</f>
        <v>0</v>
      </c>
      <c r="F25">
        <f>IFERROR(VLOOKUP($B25,Table59[['#]:[Pts]],3,0),0)</f>
        <v>0</v>
      </c>
      <c r="G25">
        <f>IFERROR(VLOOKUP($B25,RD3pts[['#]:[Pts]],3,0),0)</f>
        <v>10</v>
      </c>
      <c r="H25">
        <f>IFERROR(VLOOKUP($B25,Table591317[['#]:[Pts]],3,0),0)</f>
        <v>10</v>
      </c>
      <c r="I25">
        <f>IFERROR(VLOOKUP($B25,Table59131721[['#]:[Pts]],3,0),0)</f>
        <v>0</v>
      </c>
      <c r="J25">
        <f>IFERROR(VLOOKUP($B25,Table5913172125[['#]:[Pts]],3,0),0)</f>
        <v>0</v>
      </c>
      <c r="K25">
        <f>IFERROR(VLOOKUP($B25,Table591317212529[['#]:[Pts]],3,0),0)</f>
        <v>0</v>
      </c>
      <c r="L25">
        <f>IFERROR(VLOOKUP($B25,Table59131721252933[['#]:[Pts]],3,0),0)</f>
        <v>0</v>
      </c>
      <c r="M25">
        <f t="shared" si="2"/>
        <v>20</v>
      </c>
      <c r="N25">
        <f t="shared" si="3"/>
        <v>20.101000000000003</v>
      </c>
      <c r="O25">
        <f t="shared" ref="O25:O39" si="20">LARGE(E25:L25,6)+LARGE(E25:L25,7)/100+LARGE(E25:L25,8)/10000+IF(B25=0,0,(1000-B25)/10000000)</f>
        <v>7.9400000000000006E-5</v>
      </c>
      <c r="P25">
        <f t="shared" si="4"/>
        <v>18</v>
      </c>
      <c r="Q25">
        <f t="shared" si="5"/>
        <v>19</v>
      </c>
      <c r="R25">
        <f t="shared" si="6"/>
        <v>18.190000000000001</v>
      </c>
      <c r="S25">
        <f t="shared" si="7"/>
        <v>19</v>
      </c>
      <c r="V25">
        <v>24</v>
      </c>
      <c r="W25">
        <f t="shared" si="8"/>
        <v>191</v>
      </c>
      <c r="X25" t="str">
        <f t="shared" si="9"/>
        <v>Olly</v>
      </c>
      <c r="Y25" t="str">
        <f t="shared" si="10"/>
        <v>Bolton</v>
      </c>
      <c r="Z25">
        <f t="shared" si="11"/>
        <v>0</v>
      </c>
      <c r="AA25">
        <f t="shared" si="12"/>
        <v>0</v>
      </c>
      <c r="AB25">
        <f t="shared" si="13"/>
        <v>0</v>
      </c>
      <c r="AC25">
        <f t="shared" si="14"/>
        <v>0</v>
      </c>
      <c r="AD25">
        <f t="shared" si="15"/>
        <v>0</v>
      </c>
      <c r="AE25">
        <f t="shared" si="16"/>
        <v>0</v>
      </c>
      <c r="AF25">
        <f t="shared" si="17"/>
        <v>0</v>
      </c>
      <c r="AG25">
        <f t="shared" si="18"/>
        <v>0</v>
      </c>
      <c r="AH25">
        <f t="shared" si="19"/>
        <v>0</v>
      </c>
    </row>
    <row r="26" spans="1:34" x14ac:dyDescent="0.3">
      <c r="A26">
        <f t="shared" si="1"/>
        <v>25</v>
      </c>
      <c r="B26">
        <f>Entry!A26</f>
        <v>0</v>
      </c>
      <c r="C26">
        <f>Entry!B26</f>
        <v>0</v>
      </c>
      <c r="D26">
        <f>Entry!C26</f>
        <v>0</v>
      </c>
      <c r="E26">
        <f>IFERROR(VLOOKUP($B26,Table5[['#]:[Pts]],3,0),0)</f>
        <v>0</v>
      </c>
      <c r="F26">
        <f>IFERROR(VLOOKUP($B26,Table59[['#]:[Pts]],3,0),0)</f>
        <v>0</v>
      </c>
      <c r="G26">
        <f>IFERROR(VLOOKUP($B26,RD3pts[['#]:[Pts]],3,0),0)</f>
        <v>0</v>
      </c>
      <c r="H26">
        <f>IFERROR(VLOOKUP($B26,Table591317[['#]:[Pts]],3,0),0)</f>
        <v>0</v>
      </c>
      <c r="I26">
        <f>IFERROR(VLOOKUP($B26,Table59131721[['#]:[Pts]],3,0),0)</f>
        <v>0</v>
      </c>
      <c r="J26">
        <f>IFERROR(VLOOKUP($B26,Table5913172125[['#]:[Pts]],3,0),0)</f>
        <v>0</v>
      </c>
      <c r="K26">
        <f>IFERROR(VLOOKUP($B26,Table591317212529[['#]:[Pts]],3,0),0)</f>
        <v>0</v>
      </c>
      <c r="L26">
        <f>IFERROR(VLOOKUP($B26,Table59131721252933[['#]:[Pts]],3,0),0)</f>
        <v>0</v>
      </c>
      <c r="M26">
        <f t="shared" si="2"/>
        <v>0</v>
      </c>
      <c r="N26">
        <f t="shared" si="3"/>
        <v>0</v>
      </c>
      <c r="O26">
        <f t="shared" si="20"/>
        <v>0</v>
      </c>
      <c r="P26">
        <f t="shared" si="4"/>
        <v>23</v>
      </c>
      <c r="Q26">
        <f t="shared" si="5"/>
        <v>25</v>
      </c>
      <c r="R26">
        <f t="shared" si="6"/>
        <v>23.25</v>
      </c>
      <c r="S26">
        <f t="shared" si="7"/>
        <v>25</v>
      </c>
      <c r="V26">
        <v>25</v>
      </c>
      <c r="W26">
        <f t="shared" si="8"/>
        <v>0</v>
      </c>
      <c r="X26">
        <f t="shared" si="9"/>
        <v>0</v>
      </c>
      <c r="Y26">
        <f t="shared" si="10"/>
        <v>0</v>
      </c>
      <c r="Z26">
        <f t="shared" si="11"/>
        <v>0</v>
      </c>
      <c r="AA26">
        <f t="shared" si="12"/>
        <v>0</v>
      </c>
      <c r="AB26">
        <f t="shared" si="13"/>
        <v>0</v>
      </c>
      <c r="AC26">
        <f t="shared" si="14"/>
        <v>0</v>
      </c>
      <c r="AD26">
        <f t="shared" si="15"/>
        <v>0</v>
      </c>
      <c r="AE26">
        <f t="shared" si="16"/>
        <v>0</v>
      </c>
      <c r="AF26">
        <f t="shared" si="17"/>
        <v>0</v>
      </c>
      <c r="AG26">
        <f t="shared" si="18"/>
        <v>0</v>
      </c>
      <c r="AH26">
        <f t="shared" si="19"/>
        <v>0</v>
      </c>
    </row>
    <row r="27" spans="1:34" x14ac:dyDescent="0.3">
      <c r="A27">
        <f t="shared" si="1"/>
        <v>25</v>
      </c>
      <c r="B27">
        <f>Entry!A27</f>
        <v>0</v>
      </c>
      <c r="C27">
        <f>Entry!B27</f>
        <v>0</v>
      </c>
      <c r="D27">
        <f>Entry!C27</f>
        <v>0</v>
      </c>
      <c r="E27">
        <f>IFERROR(VLOOKUP($B27,Table5[['#]:[Pts]],3,0),0)</f>
        <v>0</v>
      </c>
      <c r="F27">
        <f>IFERROR(VLOOKUP($B27,Table59[['#]:[Pts]],3,0),0)</f>
        <v>0</v>
      </c>
      <c r="G27">
        <f>IFERROR(VLOOKUP($B27,RD3pts[['#]:[Pts]],3,0),0)</f>
        <v>0</v>
      </c>
      <c r="H27">
        <f>IFERROR(VLOOKUP($B27,Table591317[['#]:[Pts]],3,0),0)</f>
        <v>0</v>
      </c>
      <c r="I27">
        <f>IFERROR(VLOOKUP($B27,Table59131721[['#]:[Pts]],3,0),0)</f>
        <v>0</v>
      </c>
      <c r="J27">
        <f>IFERROR(VLOOKUP($B27,Table5913172125[['#]:[Pts]],3,0),0)</f>
        <v>0</v>
      </c>
      <c r="K27">
        <f>IFERROR(VLOOKUP($B27,Table591317212529[['#]:[Pts]],3,0),0)</f>
        <v>0</v>
      </c>
      <c r="L27">
        <f>IFERROR(VLOOKUP($B27,Table59131721252933[['#]:[Pts]],3,0),0)</f>
        <v>0</v>
      </c>
      <c r="M27">
        <f t="shared" si="2"/>
        <v>0</v>
      </c>
      <c r="N27">
        <f t="shared" si="3"/>
        <v>0</v>
      </c>
      <c r="O27">
        <f t="shared" si="20"/>
        <v>0</v>
      </c>
      <c r="P27">
        <f t="shared" si="4"/>
        <v>23</v>
      </c>
      <c r="Q27">
        <f t="shared" si="5"/>
        <v>25</v>
      </c>
      <c r="R27">
        <f t="shared" si="6"/>
        <v>23.25</v>
      </c>
      <c r="S27">
        <f t="shared" si="7"/>
        <v>25</v>
      </c>
    </row>
    <row r="28" spans="1:34" x14ac:dyDescent="0.3">
      <c r="A28">
        <f t="shared" si="1"/>
        <v>25</v>
      </c>
      <c r="B28">
        <f>Entry!A28</f>
        <v>0</v>
      </c>
      <c r="C28">
        <f>Entry!B28</f>
        <v>0</v>
      </c>
      <c r="D28">
        <f>Entry!C28</f>
        <v>0</v>
      </c>
      <c r="E28">
        <f>IFERROR(VLOOKUP($B28,Table5[['#]:[Pts]],3,0),0)</f>
        <v>0</v>
      </c>
      <c r="F28">
        <f>IFERROR(VLOOKUP($B28,Table59[['#]:[Pts]],3,0),0)</f>
        <v>0</v>
      </c>
      <c r="G28">
        <f>IFERROR(VLOOKUP($B28,RD3pts[['#]:[Pts]],3,0),0)</f>
        <v>0</v>
      </c>
      <c r="H28">
        <f>IFERROR(VLOOKUP($B28,Table591317[['#]:[Pts]],3,0),0)</f>
        <v>0</v>
      </c>
      <c r="I28">
        <f>IFERROR(VLOOKUP($B28,Table59131721[['#]:[Pts]],3,0),0)</f>
        <v>0</v>
      </c>
      <c r="J28">
        <f>IFERROR(VLOOKUP($B28,Table5913172125[['#]:[Pts]],3,0),0)</f>
        <v>0</v>
      </c>
      <c r="K28">
        <f>IFERROR(VLOOKUP($B28,Table591317212529[['#]:[Pts]],3,0),0)</f>
        <v>0</v>
      </c>
      <c r="L28">
        <f>IFERROR(VLOOKUP($B28,Table59131721252933[['#]:[Pts]],3,0),0)</f>
        <v>0</v>
      </c>
      <c r="M28">
        <f t="shared" si="2"/>
        <v>0</v>
      </c>
      <c r="N28">
        <f t="shared" si="3"/>
        <v>0</v>
      </c>
      <c r="O28">
        <f t="shared" si="20"/>
        <v>0</v>
      </c>
      <c r="P28">
        <f t="shared" si="4"/>
        <v>23</v>
      </c>
      <c r="Q28">
        <f t="shared" si="5"/>
        <v>25</v>
      </c>
      <c r="R28">
        <f t="shared" si="6"/>
        <v>23.25</v>
      </c>
      <c r="S28">
        <f t="shared" si="7"/>
        <v>25</v>
      </c>
    </row>
    <row r="29" spans="1:34" x14ac:dyDescent="0.3">
      <c r="A29">
        <f t="shared" si="1"/>
        <v>25</v>
      </c>
      <c r="B29">
        <f>Entry!A29</f>
        <v>0</v>
      </c>
      <c r="C29">
        <f>Entry!B29</f>
        <v>0</v>
      </c>
      <c r="D29">
        <f>Entry!C29</f>
        <v>0</v>
      </c>
      <c r="E29">
        <f>IFERROR(VLOOKUP($B29,Table5[['#]:[Pts]],3,0),0)</f>
        <v>0</v>
      </c>
      <c r="F29">
        <f>IFERROR(VLOOKUP($B29,Table59[['#]:[Pts]],3,0),0)</f>
        <v>0</v>
      </c>
      <c r="G29">
        <f>IFERROR(VLOOKUP($B29,RD3pts[['#]:[Pts]],3,0),0)</f>
        <v>0</v>
      </c>
      <c r="H29">
        <f>IFERROR(VLOOKUP($B29,Table591317[['#]:[Pts]],3,0),0)</f>
        <v>0</v>
      </c>
      <c r="I29">
        <f>IFERROR(VLOOKUP($B29,Table59131721[['#]:[Pts]],3,0),0)</f>
        <v>0</v>
      </c>
      <c r="J29">
        <f>IFERROR(VLOOKUP($B29,Table5913172125[['#]:[Pts]],3,0),0)</f>
        <v>0</v>
      </c>
      <c r="K29">
        <f>IFERROR(VLOOKUP($B29,Table591317212529[['#]:[Pts]],3,0),0)</f>
        <v>0</v>
      </c>
      <c r="L29">
        <f>IFERROR(VLOOKUP($B29,Table59131721252933[['#]:[Pts]],3,0),0)</f>
        <v>0</v>
      </c>
      <c r="M29">
        <f t="shared" si="2"/>
        <v>0</v>
      </c>
      <c r="N29">
        <f t="shared" si="3"/>
        <v>0</v>
      </c>
      <c r="O29">
        <f t="shared" si="20"/>
        <v>0</v>
      </c>
      <c r="P29">
        <f t="shared" si="4"/>
        <v>23</v>
      </c>
      <c r="Q29">
        <f t="shared" si="5"/>
        <v>25</v>
      </c>
      <c r="R29">
        <f t="shared" si="6"/>
        <v>23.25</v>
      </c>
      <c r="S29">
        <f t="shared" si="7"/>
        <v>25</v>
      </c>
    </row>
    <row r="30" spans="1:34" x14ac:dyDescent="0.3">
      <c r="A30">
        <f t="shared" si="1"/>
        <v>25</v>
      </c>
      <c r="B30">
        <f>Entry!A30</f>
        <v>0</v>
      </c>
      <c r="C30">
        <f>Entry!B30</f>
        <v>0</v>
      </c>
      <c r="D30">
        <f>Entry!C30</f>
        <v>0</v>
      </c>
      <c r="E30">
        <f>IFERROR(VLOOKUP($B30,Table5[['#]:[Pts]],3,0),0)</f>
        <v>0</v>
      </c>
      <c r="F30">
        <f>IFERROR(VLOOKUP($B30,Table59[['#]:[Pts]],3,0),0)</f>
        <v>0</v>
      </c>
      <c r="G30">
        <f>IFERROR(VLOOKUP($B30,RD3pts[['#]:[Pts]],3,0),0)</f>
        <v>0</v>
      </c>
      <c r="H30">
        <f>IFERROR(VLOOKUP($B30,Table591317[['#]:[Pts]],3,0),0)</f>
        <v>0</v>
      </c>
      <c r="I30">
        <f>IFERROR(VLOOKUP($B30,Table59131721[['#]:[Pts]],3,0),0)</f>
        <v>0</v>
      </c>
      <c r="J30">
        <f>IFERROR(VLOOKUP($B30,Table5913172125[['#]:[Pts]],3,0),0)</f>
        <v>0</v>
      </c>
      <c r="K30">
        <f>IFERROR(VLOOKUP($B30,Table591317212529[['#]:[Pts]],3,0),0)</f>
        <v>0</v>
      </c>
      <c r="L30">
        <f>IFERROR(VLOOKUP($B30,Table59131721252933[['#]:[Pts]],3,0),0)</f>
        <v>0</v>
      </c>
      <c r="M30">
        <f t="shared" si="2"/>
        <v>0</v>
      </c>
      <c r="N30">
        <f t="shared" si="3"/>
        <v>0</v>
      </c>
      <c r="O30">
        <f t="shared" si="20"/>
        <v>0</v>
      </c>
      <c r="P30">
        <f t="shared" si="4"/>
        <v>23</v>
      </c>
      <c r="Q30">
        <f t="shared" si="5"/>
        <v>25</v>
      </c>
      <c r="R30">
        <f t="shared" si="6"/>
        <v>23.25</v>
      </c>
      <c r="S30">
        <f t="shared" si="7"/>
        <v>25</v>
      </c>
    </row>
    <row r="31" spans="1:34" x14ac:dyDescent="0.3">
      <c r="A31">
        <f t="shared" si="1"/>
        <v>25</v>
      </c>
      <c r="B31">
        <f>Entry!A31</f>
        <v>0</v>
      </c>
      <c r="C31">
        <f>Entry!B31</f>
        <v>0</v>
      </c>
      <c r="D31">
        <f>Entry!C31</f>
        <v>0</v>
      </c>
      <c r="E31">
        <f>IFERROR(VLOOKUP($B31,Table5[['#]:[Pts]],3,0),0)</f>
        <v>0</v>
      </c>
      <c r="F31">
        <f>IFERROR(VLOOKUP($B31,Table59[['#]:[Pts]],3,0),0)</f>
        <v>0</v>
      </c>
      <c r="G31">
        <f>IFERROR(VLOOKUP($B31,RD3pts[['#]:[Pts]],3,0),0)</f>
        <v>0</v>
      </c>
      <c r="H31">
        <f>IFERROR(VLOOKUP($B31,Table591317[['#]:[Pts]],3,0),0)</f>
        <v>0</v>
      </c>
      <c r="I31">
        <f>IFERROR(VLOOKUP($B31,Table59131721[['#]:[Pts]],3,0),0)</f>
        <v>0</v>
      </c>
      <c r="J31">
        <f>IFERROR(VLOOKUP($B31,Table5913172125[['#]:[Pts]],3,0),0)</f>
        <v>0</v>
      </c>
      <c r="K31">
        <f>IFERROR(VLOOKUP($B31,Table591317212529[['#]:[Pts]],3,0),0)</f>
        <v>0</v>
      </c>
      <c r="L31">
        <f>IFERROR(VLOOKUP($B31,Table59131721252933[['#]:[Pts]],3,0),0)</f>
        <v>0</v>
      </c>
      <c r="M31">
        <f t="shared" si="2"/>
        <v>0</v>
      </c>
      <c r="N31">
        <f t="shared" si="3"/>
        <v>0</v>
      </c>
      <c r="O31">
        <f t="shared" si="20"/>
        <v>0</v>
      </c>
      <c r="P31">
        <f t="shared" si="4"/>
        <v>23</v>
      </c>
      <c r="Q31">
        <f t="shared" si="5"/>
        <v>25</v>
      </c>
      <c r="R31">
        <f t="shared" si="6"/>
        <v>23.25</v>
      </c>
      <c r="S31">
        <f t="shared" si="7"/>
        <v>25</v>
      </c>
    </row>
    <row r="32" spans="1:34" x14ac:dyDescent="0.3">
      <c r="A32">
        <f t="shared" si="1"/>
        <v>25</v>
      </c>
      <c r="B32">
        <f>Entry!A32</f>
        <v>0</v>
      </c>
      <c r="C32">
        <f>Entry!B32</f>
        <v>0</v>
      </c>
      <c r="D32">
        <f>Entry!C32</f>
        <v>0</v>
      </c>
      <c r="E32">
        <f>IFERROR(VLOOKUP($B32,Table5[['#]:[Pts]],3,0),0)</f>
        <v>0</v>
      </c>
      <c r="F32">
        <f>IFERROR(VLOOKUP($B32,Table59[['#]:[Pts]],3,0),0)</f>
        <v>0</v>
      </c>
      <c r="G32">
        <f>IFERROR(VLOOKUP($B32,RD3pts[['#]:[Pts]],3,0),0)</f>
        <v>0</v>
      </c>
      <c r="H32">
        <f>IFERROR(VLOOKUP($B32,Table591317[['#]:[Pts]],3,0),0)</f>
        <v>0</v>
      </c>
      <c r="I32">
        <f>IFERROR(VLOOKUP($B32,Table59131721[['#]:[Pts]],3,0),0)</f>
        <v>0</v>
      </c>
      <c r="J32">
        <f>IFERROR(VLOOKUP($B32,Table5913172125[['#]:[Pts]],3,0),0)</f>
        <v>0</v>
      </c>
      <c r="K32">
        <f>IFERROR(VLOOKUP($B32,Table591317212529[['#]:[Pts]],3,0),0)</f>
        <v>0</v>
      </c>
      <c r="L32">
        <f>IFERROR(VLOOKUP($B32,Table59131721252933[['#]:[Pts]],3,0),0)</f>
        <v>0</v>
      </c>
      <c r="M32">
        <f t="shared" si="2"/>
        <v>0</v>
      </c>
      <c r="N32">
        <f t="shared" si="3"/>
        <v>0</v>
      </c>
      <c r="O32">
        <f t="shared" si="20"/>
        <v>0</v>
      </c>
      <c r="P32">
        <f t="shared" si="4"/>
        <v>23</v>
      </c>
      <c r="Q32">
        <f t="shared" si="5"/>
        <v>25</v>
      </c>
      <c r="R32">
        <f t="shared" si="6"/>
        <v>23.25</v>
      </c>
      <c r="S32">
        <f t="shared" si="7"/>
        <v>25</v>
      </c>
    </row>
    <row r="33" spans="1:19" x14ac:dyDescent="0.3">
      <c r="A33">
        <f t="shared" si="1"/>
        <v>25</v>
      </c>
      <c r="B33">
        <f>Entry!A33</f>
        <v>0</v>
      </c>
      <c r="C33">
        <f>Entry!B33</f>
        <v>0</v>
      </c>
      <c r="D33">
        <f>Entry!C33</f>
        <v>0</v>
      </c>
      <c r="E33">
        <f>IFERROR(VLOOKUP($B33,Table5[['#]:[Pts]],3,0),0)</f>
        <v>0</v>
      </c>
      <c r="F33">
        <f>IFERROR(VLOOKUP($B33,Table59[['#]:[Pts]],3,0),0)</f>
        <v>0</v>
      </c>
      <c r="G33">
        <f>IFERROR(VLOOKUP($B33,RD3pts[['#]:[Pts]],3,0),0)</f>
        <v>0</v>
      </c>
      <c r="H33">
        <f>IFERROR(VLOOKUP($B33,Table591317[['#]:[Pts]],3,0),0)</f>
        <v>0</v>
      </c>
      <c r="I33">
        <f>IFERROR(VLOOKUP($B33,Table59131721[['#]:[Pts]],3,0),0)</f>
        <v>0</v>
      </c>
      <c r="J33">
        <f>IFERROR(VLOOKUP($B33,Table5913172125[['#]:[Pts]],3,0),0)</f>
        <v>0</v>
      </c>
      <c r="K33">
        <f>IFERROR(VLOOKUP($B33,Table591317212529[['#]:[Pts]],3,0),0)</f>
        <v>0</v>
      </c>
      <c r="L33">
        <f>IFERROR(VLOOKUP($B33,Table59131721252933[['#]:[Pts]],3,0),0)</f>
        <v>0</v>
      </c>
      <c r="M33">
        <f t="shared" si="2"/>
        <v>0</v>
      </c>
      <c r="N33">
        <f t="shared" si="3"/>
        <v>0</v>
      </c>
      <c r="O33">
        <f t="shared" si="20"/>
        <v>0</v>
      </c>
      <c r="P33">
        <f t="shared" si="4"/>
        <v>23</v>
      </c>
      <c r="Q33">
        <f t="shared" si="5"/>
        <v>25</v>
      </c>
      <c r="R33">
        <f t="shared" si="6"/>
        <v>23.25</v>
      </c>
      <c r="S33">
        <f t="shared" si="7"/>
        <v>25</v>
      </c>
    </row>
    <row r="34" spans="1:19" x14ac:dyDescent="0.3">
      <c r="A34">
        <f t="shared" si="1"/>
        <v>25</v>
      </c>
      <c r="B34">
        <f>Entry!A34</f>
        <v>0</v>
      </c>
      <c r="C34">
        <f>Entry!B34</f>
        <v>0</v>
      </c>
      <c r="D34">
        <f>Entry!C34</f>
        <v>0</v>
      </c>
      <c r="E34">
        <f>IFERROR(VLOOKUP($B34,Table5[['#]:[Pts]],3,0),0)</f>
        <v>0</v>
      </c>
      <c r="F34">
        <f>IFERROR(VLOOKUP($B34,Table59[['#]:[Pts]],3,0),0)</f>
        <v>0</v>
      </c>
      <c r="G34">
        <f>IFERROR(VLOOKUP($B34,RD3pts[['#]:[Pts]],3,0),0)</f>
        <v>0</v>
      </c>
      <c r="H34">
        <f>IFERROR(VLOOKUP($B34,Table591317[['#]:[Pts]],3,0),0)</f>
        <v>0</v>
      </c>
      <c r="I34">
        <f>IFERROR(VLOOKUP($B34,Table59131721[['#]:[Pts]],3,0),0)</f>
        <v>0</v>
      </c>
      <c r="J34">
        <f>IFERROR(VLOOKUP($B34,Table5913172125[['#]:[Pts]],3,0),0)</f>
        <v>0</v>
      </c>
      <c r="K34">
        <f>IFERROR(VLOOKUP($B34,Table591317212529[['#]:[Pts]],3,0),0)</f>
        <v>0</v>
      </c>
      <c r="L34">
        <f>IFERROR(VLOOKUP($B34,Table59131721252933[['#]:[Pts]],3,0),0)</f>
        <v>0</v>
      </c>
      <c r="M34">
        <f t="shared" si="2"/>
        <v>0</v>
      </c>
      <c r="N34">
        <f t="shared" si="3"/>
        <v>0</v>
      </c>
      <c r="O34">
        <f t="shared" si="20"/>
        <v>0</v>
      </c>
      <c r="P34">
        <f t="shared" si="4"/>
        <v>23</v>
      </c>
      <c r="Q34">
        <f t="shared" si="5"/>
        <v>25</v>
      </c>
      <c r="R34">
        <f t="shared" si="6"/>
        <v>23.25</v>
      </c>
      <c r="S34">
        <f t="shared" si="7"/>
        <v>25</v>
      </c>
    </row>
    <row r="35" spans="1:19" x14ac:dyDescent="0.3">
      <c r="A35">
        <f t="shared" si="1"/>
        <v>25</v>
      </c>
      <c r="B35">
        <f>Entry!A35</f>
        <v>0</v>
      </c>
      <c r="C35">
        <f>Entry!B35</f>
        <v>0</v>
      </c>
      <c r="D35">
        <f>Entry!C35</f>
        <v>0</v>
      </c>
      <c r="E35">
        <f>IFERROR(VLOOKUP($B35,Table5[['#]:[Pts]],3,0),0)</f>
        <v>0</v>
      </c>
      <c r="F35">
        <f>IFERROR(VLOOKUP($B35,Table59[['#]:[Pts]],3,0),0)</f>
        <v>0</v>
      </c>
      <c r="G35">
        <f>IFERROR(VLOOKUP($B35,RD3pts[['#]:[Pts]],3,0),0)</f>
        <v>0</v>
      </c>
      <c r="H35">
        <f>IFERROR(VLOOKUP($B35,Table591317[['#]:[Pts]],3,0),0)</f>
        <v>0</v>
      </c>
      <c r="I35">
        <f>IFERROR(VLOOKUP($B35,Table59131721[['#]:[Pts]],3,0),0)</f>
        <v>0</v>
      </c>
      <c r="J35">
        <f>IFERROR(VLOOKUP($B35,Table5913172125[['#]:[Pts]],3,0),0)</f>
        <v>0</v>
      </c>
      <c r="K35">
        <f>IFERROR(VLOOKUP($B35,Table591317212529[['#]:[Pts]],3,0),0)</f>
        <v>0</v>
      </c>
      <c r="L35">
        <f>IFERROR(VLOOKUP($B35,Table59131721252933[['#]:[Pts]],3,0),0)</f>
        <v>0</v>
      </c>
      <c r="M35">
        <f t="shared" si="2"/>
        <v>0</v>
      </c>
      <c r="N35">
        <f t="shared" si="3"/>
        <v>0</v>
      </c>
      <c r="O35">
        <f t="shared" si="20"/>
        <v>0</v>
      </c>
      <c r="P35">
        <f t="shared" si="4"/>
        <v>23</v>
      </c>
      <c r="Q35">
        <f t="shared" si="5"/>
        <v>25</v>
      </c>
      <c r="R35">
        <f t="shared" si="6"/>
        <v>23.25</v>
      </c>
      <c r="S35">
        <f t="shared" si="7"/>
        <v>25</v>
      </c>
    </row>
    <row r="36" spans="1:19" x14ac:dyDescent="0.3">
      <c r="A36">
        <f t="shared" si="1"/>
        <v>25</v>
      </c>
      <c r="B36">
        <f>Entry!A36</f>
        <v>0</v>
      </c>
      <c r="C36">
        <f>Entry!B36</f>
        <v>0</v>
      </c>
      <c r="D36">
        <f>Entry!C36</f>
        <v>0</v>
      </c>
      <c r="E36">
        <f>IFERROR(VLOOKUP($B36,Table5[['#]:[Pts]],3,0),0)</f>
        <v>0</v>
      </c>
      <c r="F36">
        <f>IFERROR(VLOOKUP($B36,Table59[['#]:[Pts]],3,0),0)</f>
        <v>0</v>
      </c>
      <c r="G36">
        <f>IFERROR(VLOOKUP($B36,RD3pts[['#]:[Pts]],3,0),0)</f>
        <v>0</v>
      </c>
      <c r="H36">
        <f>IFERROR(VLOOKUP($B36,Table591317[['#]:[Pts]],3,0),0)</f>
        <v>0</v>
      </c>
      <c r="I36">
        <f>IFERROR(VLOOKUP($B36,Table59131721[['#]:[Pts]],3,0),0)</f>
        <v>0</v>
      </c>
      <c r="J36">
        <f>IFERROR(VLOOKUP($B36,Table5913172125[['#]:[Pts]],3,0),0)</f>
        <v>0</v>
      </c>
      <c r="K36">
        <f>IFERROR(VLOOKUP($B36,Table591317212529[['#]:[Pts]],3,0),0)</f>
        <v>0</v>
      </c>
      <c r="L36">
        <f>IFERROR(VLOOKUP($B36,Table59131721252933[['#]:[Pts]],3,0),0)</f>
        <v>0</v>
      </c>
      <c r="M36">
        <f t="shared" si="2"/>
        <v>0</v>
      </c>
      <c r="N36">
        <f t="shared" si="3"/>
        <v>0</v>
      </c>
      <c r="O36">
        <f t="shared" si="20"/>
        <v>0</v>
      </c>
      <c r="P36">
        <f t="shared" si="4"/>
        <v>23</v>
      </c>
      <c r="Q36">
        <f t="shared" si="5"/>
        <v>25</v>
      </c>
      <c r="R36">
        <f t="shared" si="6"/>
        <v>23.25</v>
      </c>
      <c r="S36">
        <f t="shared" si="7"/>
        <v>25</v>
      </c>
    </row>
    <row r="37" spans="1:19" x14ac:dyDescent="0.3">
      <c r="A37">
        <f t="shared" si="1"/>
        <v>25</v>
      </c>
      <c r="B37">
        <f>Entry!A37</f>
        <v>0</v>
      </c>
      <c r="C37">
        <f>Entry!B37</f>
        <v>0</v>
      </c>
      <c r="D37">
        <f>Entry!C37</f>
        <v>0</v>
      </c>
      <c r="E37">
        <f>IFERROR(VLOOKUP($B37,Table5[['#]:[Pts]],3,0),0)</f>
        <v>0</v>
      </c>
      <c r="F37">
        <f>IFERROR(VLOOKUP($B37,Table59[['#]:[Pts]],3,0),0)</f>
        <v>0</v>
      </c>
      <c r="G37">
        <f>IFERROR(VLOOKUP($B37,RD3pts[['#]:[Pts]],3,0),0)</f>
        <v>0</v>
      </c>
      <c r="H37">
        <f>IFERROR(VLOOKUP($B37,Table591317[['#]:[Pts]],3,0),0)</f>
        <v>0</v>
      </c>
      <c r="I37">
        <f>IFERROR(VLOOKUP($B37,Table59131721[['#]:[Pts]],3,0),0)</f>
        <v>0</v>
      </c>
      <c r="J37">
        <f>IFERROR(VLOOKUP($B37,Table5913172125[['#]:[Pts]],3,0),0)</f>
        <v>0</v>
      </c>
      <c r="K37">
        <f>IFERROR(VLOOKUP($B37,Table591317212529[['#]:[Pts]],3,0),0)</f>
        <v>0</v>
      </c>
      <c r="L37">
        <f>IFERROR(VLOOKUP($B37,Table59131721252933[['#]:[Pts]],3,0),0)</f>
        <v>0</v>
      </c>
      <c r="M37">
        <f t="shared" si="2"/>
        <v>0</v>
      </c>
      <c r="N37">
        <f t="shared" si="3"/>
        <v>0</v>
      </c>
      <c r="O37">
        <f t="shared" si="20"/>
        <v>0</v>
      </c>
      <c r="P37">
        <f t="shared" si="4"/>
        <v>23</v>
      </c>
      <c r="Q37">
        <f t="shared" si="5"/>
        <v>25</v>
      </c>
      <c r="R37">
        <f t="shared" si="6"/>
        <v>23.25</v>
      </c>
      <c r="S37">
        <f t="shared" si="7"/>
        <v>25</v>
      </c>
    </row>
    <row r="38" spans="1:19" x14ac:dyDescent="0.3">
      <c r="A38">
        <f t="shared" si="1"/>
        <v>25</v>
      </c>
      <c r="B38">
        <f>Entry!A38</f>
        <v>0</v>
      </c>
      <c r="C38">
        <f>Entry!B38</f>
        <v>0</v>
      </c>
      <c r="D38">
        <f>Entry!C38</f>
        <v>0</v>
      </c>
      <c r="E38">
        <f>IFERROR(VLOOKUP($B38,Table5[['#]:[Pts]],3,0),0)</f>
        <v>0</v>
      </c>
      <c r="F38">
        <f>IFERROR(VLOOKUP($B38,Table59[['#]:[Pts]],3,0),0)</f>
        <v>0</v>
      </c>
      <c r="G38">
        <f>IFERROR(VLOOKUP($B38,RD3pts[['#]:[Pts]],3,0),0)</f>
        <v>0</v>
      </c>
      <c r="H38">
        <f>IFERROR(VLOOKUP($B38,Table591317[['#]:[Pts]],3,0),0)</f>
        <v>0</v>
      </c>
      <c r="I38">
        <f>IFERROR(VLOOKUP($B38,Table59131721[['#]:[Pts]],3,0),0)</f>
        <v>0</v>
      </c>
      <c r="J38">
        <f>IFERROR(VLOOKUP($B38,Table5913172125[['#]:[Pts]],3,0),0)</f>
        <v>0</v>
      </c>
      <c r="K38">
        <f>IFERROR(VLOOKUP($B38,Table591317212529[['#]:[Pts]],3,0),0)</f>
        <v>0</v>
      </c>
      <c r="L38">
        <f>IFERROR(VLOOKUP($B38,Table59131721252933[['#]:[Pts]],3,0),0)</f>
        <v>0</v>
      </c>
      <c r="M38">
        <f t="shared" si="2"/>
        <v>0</v>
      </c>
      <c r="N38">
        <f t="shared" si="3"/>
        <v>0</v>
      </c>
      <c r="O38">
        <f t="shared" si="20"/>
        <v>0</v>
      </c>
      <c r="P38">
        <f t="shared" si="4"/>
        <v>23</v>
      </c>
      <c r="Q38">
        <f t="shared" si="5"/>
        <v>25</v>
      </c>
      <c r="R38">
        <f t="shared" si="6"/>
        <v>23.25</v>
      </c>
      <c r="S38">
        <f t="shared" si="7"/>
        <v>25</v>
      </c>
    </row>
    <row r="39" spans="1:19" x14ac:dyDescent="0.3">
      <c r="A39">
        <f t="shared" si="1"/>
        <v>25</v>
      </c>
      <c r="B39">
        <f>Entry!A39</f>
        <v>0</v>
      </c>
      <c r="C39">
        <f>Entry!B39</f>
        <v>0</v>
      </c>
      <c r="D39">
        <f>Entry!C39</f>
        <v>0</v>
      </c>
      <c r="E39">
        <f>IFERROR(VLOOKUP($B39,Table5[['#]:[Pts]],3,0),0)</f>
        <v>0</v>
      </c>
      <c r="F39">
        <f>IFERROR(VLOOKUP($B39,Table59[['#]:[Pts]],3,0),0)</f>
        <v>0</v>
      </c>
      <c r="G39">
        <f>IFERROR(VLOOKUP($B39,RD3pts[['#]:[Pts]],3,0),0)</f>
        <v>0</v>
      </c>
      <c r="H39">
        <f>IFERROR(VLOOKUP($B39,Table591317[['#]:[Pts]],3,0),0)</f>
        <v>0</v>
      </c>
      <c r="I39">
        <f>IFERROR(VLOOKUP($B39,Table59131721[['#]:[Pts]],3,0),0)</f>
        <v>0</v>
      </c>
      <c r="J39">
        <f>IFERROR(VLOOKUP($B39,Table5913172125[['#]:[Pts]],3,0),0)</f>
        <v>0</v>
      </c>
      <c r="K39">
        <f>IFERROR(VLOOKUP($B39,Table591317212529[['#]:[Pts]],3,0),0)</f>
        <v>0</v>
      </c>
      <c r="L39">
        <f>IFERROR(VLOOKUP($B39,Table59131721252933[['#]:[Pts]],3,0),0)</f>
        <v>0</v>
      </c>
      <c r="M39">
        <f t="shared" si="2"/>
        <v>0</v>
      </c>
      <c r="N39">
        <f t="shared" si="3"/>
        <v>0</v>
      </c>
      <c r="O39">
        <f t="shared" si="20"/>
        <v>0</v>
      </c>
      <c r="P39">
        <f t="shared" si="4"/>
        <v>23</v>
      </c>
      <c r="Q39">
        <f t="shared" si="5"/>
        <v>25</v>
      </c>
      <c r="R39">
        <f t="shared" si="6"/>
        <v>23.25</v>
      </c>
      <c r="S39">
        <f t="shared" si="7"/>
        <v>25</v>
      </c>
    </row>
  </sheetData>
  <sheetProtection sheet="1" objects="1" scenarios="1"/>
  <phoneticPr fontId="1" type="noConversion"/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DE904-9DA1-41D0-85B7-3A84F4A9BBBF}">
  <sheetPr>
    <pageSetUpPr fitToPage="1"/>
  </sheetPr>
  <dimension ref="A1:W33"/>
  <sheetViews>
    <sheetView workbookViewId="0">
      <selection activeCell="V27" sqref="V27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6 Finals'!A1</f>
        <v>Q Pos</v>
      </c>
      <c r="B1" t="str">
        <f>'Round 6 Finals'!B1</f>
        <v>#</v>
      </c>
      <c r="C1" t="str">
        <f>'Round 6 Finals'!C1</f>
        <v>Name</v>
      </c>
      <c r="D1" t="str">
        <f>'Round 6 Finals'!D1</f>
        <v>Score</v>
      </c>
      <c r="F1" t="str">
        <f>'Round 6 Finals'!F1</f>
        <v>Q</v>
      </c>
      <c r="G1" t="str">
        <f>'Round 6 Finals'!G1</f>
        <v>#</v>
      </c>
      <c r="K1" t="str">
        <f>'Round 6 Finals'!K1</f>
        <v>Q</v>
      </c>
      <c r="L1" t="str">
        <f>'Round 6 Finals'!L1</f>
        <v>#</v>
      </c>
      <c r="P1" t="str">
        <f>'Round 6 Finals'!P1</f>
        <v>Q</v>
      </c>
      <c r="Q1" t="str">
        <f>'Round 6 Finals'!Q1</f>
        <v>#</v>
      </c>
      <c r="V1" t="str">
        <f>'Round 6 Finals'!V1</f>
        <v>#</v>
      </c>
    </row>
    <row r="2" spans="1:22" x14ac:dyDescent="0.3">
      <c r="A2" s="1">
        <f>'Round 6 Finals'!A2</f>
        <v>1</v>
      </c>
      <c r="B2" s="1" t="e">
        <f>'Round 6 Finals'!B2</f>
        <v>#N/A</v>
      </c>
      <c r="C2" s="1" t="e">
        <f>'Round 6 Finals'!C2</f>
        <v>#N/A</v>
      </c>
      <c r="D2" s="1">
        <f>'Round 6 Finals'!D2</f>
        <v>0</v>
      </c>
      <c r="E2" s="2"/>
    </row>
    <row r="3" spans="1:22" x14ac:dyDescent="0.3">
      <c r="A3" s="3"/>
      <c r="E3" s="2"/>
      <c r="F3" s="1" t="str">
        <f>'Round 6 Finals'!F3</f>
        <v/>
      </c>
      <c r="G3" s="1" t="str">
        <f>'Round 6 Finals'!G3</f>
        <v/>
      </c>
      <c r="H3" s="1" t="str">
        <f>'Round 6 Finals'!H3</f>
        <v/>
      </c>
      <c r="I3" s="1">
        <f>'Round 6 Finals'!I3</f>
        <v>0</v>
      </c>
      <c r="J3" s="2"/>
    </row>
    <row r="4" spans="1:22" x14ac:dyDescent="0.3">
      <c r="A4" s="1">
        <f>'Round 6 Finals'!A4</f>
        <v>16</v>
      </c>
      <c r="B4" s="1" t="e">
        <f>'Round 6 Finals'!B4</f>
        <v>#N/A</v>
      </c>
      <c r="C4" s="1" t="e">
        <f>'Round 6 Finals'!C4</f>
        <v>#N/A</v>
      </c>
      <c r="D4" s="1">
        <f>'Round 6 Finals'!D4</f>
        <v>0</v>
      </c>
      <c r="E4" s="2"/>
      <c r="J4" s="2"/>
    </row>
    <row r="5" spans="1:22" x14ac:dyDescent="0.3">
      <c r="J5" s="2"/>
      <c r="K5" s="1" t="str">
        <f>'Round 6 Finals'!K5</f>
        <v/>
      </c>
      <c r="L5" s="1" t="str">
        <f>'Round 6 Finals'!L5</f>
        <v/>
      </c>
      <c r="M5" s="1" t="str">
        <f>'Round 6 Finals'!M5</f>
        <v/>
      </c>
      <c r="N5" s="1">
        <f>'Round 6 Finals'!N5</f>
        <v>0</v>
      </c>
      <c r="O5" s="2"/>
    </row>
    <row r="6" spans="1:22" x14ac:dyDescent="0.3">
      <c r="A6" s="1">
        <f>'Round 6 Finals'!A6</f>
        <v>8</v>
      </c>
      <c r="B6" s="1" t="e">
        <f>'Round 6 Finals'!B6</f>
        <v>#N/A</v>
      </c>
      <c r="C6" s="1" t="e">
        <f>'Round 6 Finals'!C6</f>
        <v>#N/A</v>
      </c>
      <c r="D6" s="1">
        <f>'Round 6 Finals'!D6</f>
        <v>0</v>
      </c>
      <c r="E6" s="2"/>
      <c r="J6" s="2"/>
      <c r="O6" s="2"/>
    </row>
    <row r="7" spans="1:22" x14ac:dyDescent="0.3">
      <c r="A7" s="3"/>
      <c r="E7" s="2"/>
      <c r="F7" s="1" t="str">
        <f>'Round 6 Finals'!F7</f>
        <v/>
      </c>
      <c r="G7" s="1" t="str">
        <f>'Round 6 Finals'!G7</f>
        <v/>
      </c>
      <c r="H7" s="1" t="str">
        <f>'Round 6 Finals'!H7</f>
        <v/>
      </c>
      <c r="I7" s="1">
        <f>'Round 6 Finals'!I7</f>
        <v>0</v>
      </c>
      <c r="J7" s="2"/>
      <c r="O7" s="2"/>
    </row>
    <row r="8" spans="1:22" x14ac:dyDescent="0.3">
      <c r="A8" s="1">
        <f>'Round 6 Finals'!A8</f>
        <v>9</v>
      </c>
      <c r="B8" s="1" t="e">
        <f>'Round 6 Finals'!B8</f>
        <v>#N/A</v>
      </c>
      <c r="C8" s="1" t="e">
        <f>'Round 6 Finals'!C8</f>
        <v>#N/A</v>
      </c>
      <c r="D8" s="1">
        <f>'Round 6 Finals'!D8</f>
        <v>0</v>
      </c>
      <c r="E8" s="2"/>
      <c r="O8" s="2"/>
    </row>
    <row r="9" spans="1:22" x14ac:dyDescent="0.3">
      <c r="O9" s="2"/>
      <c r="P9" s="1" t="str">
        <f>'Round 6 Finals'!P9</f>
        <v/>
      </c>
      <c r="Q9" s="1" t="str">
        <f>'Round 6 Finals'!Q9</f>
        <v/>
      </c>
      <c r="R9" s="1" t="str">
        <f>'Round 6 Finals'!R9</f>
        <v/>
      </c>
      <c r="S9" s="1">
        <f>'Round 6 Finals'!S9</f>
        <v>0</v>
      </c>
      <c r="T9" s="2"/>
    </row>
    <row r="10" spans="1:22" x14ac:dyDescent="0.3">
      <c r="A10" s="1">
        <f>'Round 6 Finals'!A10</f>
        <v>4</v>
      </c>
      <c r="B10" s="1" t="e">
        <f>'Round 6 Finals'!B10</f>
        <v>#N/A</v>
      </c>
      <c r="C10" s="1" t="e">
        <f>'Round 6 Finals'!C10</f>
        <v>#N/A</v>
      </c>
      <c r="D10" s="1">
        <f>'Round 6 Finals'!D10</f>
        <v>0</v>
      </c>
      <c r="E10" s="2"/>
      <c r="O10" s="2"/>
      <c r="T10" s="2"/>
    </row>
    <row r="11" spans="1:22" x14ac:dyDescent="0.3">
      <c r="A11" s="3"/>
      <c r="E11" s="2"/>
      <c r="F11" s="1" t="str">
        <f>'Round 6 Finals'!F11</f>
        <v/>
      </c>
      <c r="G11" s="1" t="str">
        <f>'Round 6 Finals'!G11</f>
        <v/>
      </c>
      <c r="H11" s="1" t="str">
        <f>'Round 6 Finals'!H11</f>
        <v/>
      </c>
      <c r="I11" s="1">
        <f>'Round 6 Finals'!I11</f>
        <v>0</v>
      </c>
      <c r="J11" s="2"/>
      <c r="O11" s="2"/>
      <c r="T11" s="2"/>
    </row>
    <row r="12" spans="1:22" x14ac:dyDescent="0.3">
      <c r="A12" s="1">
        <f>'Round 6 Finals'!A12</f>
        <v>13</v>
      </c>
      <c r="B12" s="1" t="e">
        <f>'Round 6 Finals'!B12</f>
        <v>#N/A</v>
      </c>
      <c r="C12" s="1" t="e">
        <f>'Round 6 Finals'!C12</f>
        <v>#N/A</v>
      </c>
      <c r="D12" s="1">
        <f>'Round 6 Finals'!D12</f>
        <v>0</v>
      </c>
      <c r="E12" s="2"/>
      <c r="J12" s="2"/>
      <c r="O12" s="2"/>
      <c r="T12" s="2"/>
    </row>
    <row r="13" spans="1:22" x14ac:dyDescent="0.3">
      <c r="J13" s="2"/>
      <c r="K13" s="1" t="str">
        <f>'Round 6 Finals'!K13</f>
        <v/>
      </c>
      <c r="L13" s="1" t="str">
        <f>'Round 6 Finals'!L13</f>
        <v/>
      </c>
      <c r="M13" s="1" t="str">
        <f>'Round 6 Finals'!M13</f>
        <v/>
      </c>
      <c r="N13" s="1">
        <f>'Round 6 Finals'!N13</f>
        <v>0</v>
      </c>
      <c r="O13" s="2"/>
      <c r="T13" s="2"/>
    </row>
    <row r="14" spans="1:22" x14ac:dyDescent="0.3">
      <c r="A14" s="1">
        <f>'Round 6 Finals'!A14</f>
        <v>5</v>
      </c>
      <c r="B14" s="1" t="e">
        <f>'Round 6 Finals'!B14</f>
        <v>#N/A</v>
      </c>
      <c r="C14" s="1" t="e">
        <f>'Round 6 Finals'!C14</f>
        <v>#N/A</v>
      </c>
      <c r="D14" s="1">
        <f>'Round 6 Finals'!D14</f>
        <v>0</v>
      </c>
      <c r="E14" s="2"/>
      <c r="J14" s="2"/>
      <c r="T14" s="2"/>
    </row>
    <row r="15" spans="1:22" x14ac:dyDescent="0.3">
      <c r="A15" s="3"/>
      <c r="E15" s="2"/>
      <c r="F15" s="1" t="str">
        <f>'Round 6 Finals'!F15</f>
        <v/>
      </c>
      <c r="G15" s="1" t="str">
        <f>'Round 6 Finals'!G15</f>
        <v/>
      </c>
      <c r="H15" s="1" t="str">
        <f>'Round 6 Finals'!H15</f>
        <v/>
      </c>
      <c r="I15" s="1">
        <f>'Round 6 Finals'!I15</f>
        <v>0</v>
      </c>
      <c r="J15" s="2"/>
      <c r="T15" s="2"/>
    </row>
    <row r="16" spans="1:22" x14ac:dyDescent="0.3">
      <c r="A16" s="1">
        <f>'Round 6 Finals'!A16</f>
        <v>12</v>
      </c>
      <c r="B16" s="1" t="e">
        <f>'Round 6 Finals'!B16</f>
        <v>#N/A</v>
      </c>
      <c r="C16" s="1" t="e">
        <f>'Round 6 Finals'!C16</f>
        <v>#N/A</v>
      </c>
      <c r="D16" s="1">
        <f>'Round 6 Finals'!D16</f>
        <v>0</v>
      </c>
      <c r="E16" s="2"/>
      <c r="T16" s="2"/>
    </row>
    <row r="17" spans="1:23" x14ac:dyDescent="0.3">
      <c r="T17" s="2"/>
      <c r="U17" s="5" t="str">
        <f>'Round 6 Finals'!U17</f>
        <v/>
      </c>
      <c r="V17" s="5" t="str">
        <f>'Round 6 Finals'!V17</f>
        <v/>
      </c>
      <c r="W17" s="5" t="str">
        <f>'Round 6 Finals'!W17</f>
        <v/>
      </c>
    </row>
    <row r="18" spans="1:23" x14ac:dyDescent="0.3">
      <c r="A18" s="1">
        <f>'Round 6 Finals'!A18</f>
        <v>2</v>
      </c>
      <c r="B18" s="1" t="e">
        <f>'Round 6 Finals'!B18</f>
        <v>#N/A</v>
      </c>
      <c r="C18" s="1" t="e">
        <f>'Round 6 Finals'!C18</f>
        <v>#N/A</v>
      </c>
      <c r="D18" s="1">
        <f>'Round 6 Finals'!D18</f>
        <v>0</v>
      </c>
      <c r="E18" s="2"/>
      <c r="T18" s="2"/>
    </row>
    <row r="19" spans="1:23" x14ac:dyDescent="0.3">
      <c r="A19" s="3"/>
      <c r="E19" s="2"/>
      <c r="F19" s="1" t="str">
        <f>'Round 6 Finals'!F19</f>
        <v/>
      </c>
      <c r="G19" s="1" t="str">
        <f>'Round 6 Finals'!G19</f>
        <v/>
      </c>
      <c r="H19" s="1" t="str">
        <f>'Round 6 Finals'!H19</f>
        <v/>
      </c>
      <c r="I19" s="1">
        <f>'Round 6 Finals'!I19</f>
        <v>0</v>
      </c>
      <c r="J19" s="2"/>
      <c r="T19" s="2"/>
    </row>
    <row r="20" spans="1:23" x14ac:dyDescent="0.3">
      <c r="A20" s="1">
        <f>'Round 6 Finals'!A20</f>
        <v>15</v>
      </c>
      <c r="B20" s="1" t="e">
        <f>'Round 6 Finals'!B20</f>
        <v>#N/A</v>
      </c>
      <c r="C20" s="1" t="e">
        <f>'Round 6 Finals'!C20</f>
        <v>#N/A</v>
      </c>
      <c r="D20" s="1">
        <f>'Round 6 Finals'!D20</f>
        <v>0</v>
      </c>
      <c r="E20" s="2"/>
      <c r="J20" s="2"/>
      <c r="T20" s="2"/>
    </row>
    <row r="21" spans="1:23" x14ac:dyDescent="0.3">
      <c r="J21" s="2"/>
      <c r="K21" s="1" t="str">
        <f>'Round 6 Finals'!K21</f>
        <v/>
      </c>
      <c r="L21" s="1" t="str">
        <f>'Round 6 Finals'!L21</f>
        <v/>
      </c>
      <c r="M21" s="1" t="str">
        <f>'Round 6 Finals'!M21</f>
        <v/>
      </c>
      <c r="N21" s="1">
        <f>'Round 6 Finals'!N21</f>
        <v>0</v>
      </c>
      <c r="O21" s="2"/>
      <c r="T21" s="2"/>
    </row>
    <row r="22" spans="1:23" x14ac:dyDescent="0.3">
      <c r="A22" s="1">
        <f>'Round 6 Finals'!A22</f>
        <v>7</v>
      </c>
      <c r="B22" s="1" t="e">
        <f>'Round 6 Finals'!B22</f>
        <v>#N/A</v>
      </c>
      <c r="C22" s="1" t="e">
        <f>'Round 6 Finals'!C22</f>
        <v>#N/A</v>
      </c>
      <c r="D22" s="1">
        <f>'Round 6 Finals'!D22</f>
        <v>0</v>
      </c>
      <c r="E22" s="2"/>
      <c r="J22" s="2"/>
      <c r="O22" s="2"/>
      <c r="T22" s="2"/>
    </row>
    <row r="23" spans="1:23" x14ac:dyDescent="0.3">
      <c r="A23" s="3"/>
      <c r="E23" s="2"/>
      <c r="F23" s="1" t="str">
        <f>'Round 6 Finals'!F23</f>
        <v/>
      </c>
      <c r="G23" s="1" t="str">
        <f>'Round 6 Finals'!G23</f>
        <v/>
      </c>
      <c r="H23" s="1" t="str">
        <f>'Round 6 Finals'!H23</f>
        <v/>
      </c>
      <c r="I23" s="1">
        <f>'Round 6 Finals'!I23</f>
        <v>0</v>
      </c>
      <c r="J23" s="2"/>
      <c r="O23" s="2"/>
      <c r="T23" s="2"/>
    </row>
    <row r="24" spans="1:23" x14ac:dyDescent="0.3">
      <c r="A24" s="1">
        <f>'Round 6 Finals'!A24</f>
        <v>10</v>
      </c>
      <c r="B24" s="1" t="e">
        <f>'Round 6 Finals'!B24</f>
        <v>#N/A</v>
      </c>
      <c r="C24" s="1" t="e">
        <f>'Round 6 Finals'!C24</f>
        <v>#N/A</v>
      </c>
      <c r="D24" s="1">
        <f>'Round 6 Finals'!D24</f>
        <v>0</v>
      </c>
      <c r="E24" s="2"/>
      <c r="O24" s="2"/>
      <c r="T24" s="2"/>
    </row>
    <row r="25" spans="1:23" x14ac:dyDescent="0.3">
      <c r="O25" s="2"/>
      <c r="P25" s="1" t="str">
        <f>'Round 6 Finals'!P25</f>
        <v/>
      </c>
      <c r="Q25" s="1" t="str">
        <f>'Round 6 Finals'!Q25</f>
        <v/>
      </c>
      <c r="R25" s="1" t="str">
        <f>'Round 6 Finals'!R25</f>
        <v/>
      </c>
      <c r="S25" s="1">
        <f>'Round 6 Finals'!S25</f>
        <v>0</v>
      </c>
      <c r="T25" s="2"/>
    </row>
    <row r="26" spans="1:23" x14ac:dyDescent="0.3">
      <c r="A26" s="1">
        <f>'Round 6 Finals'!A26</f>
        <v>3</v>
      </c>
      <c r="B26" s="1" t="e">
        <f>'Round 6 Finals'!B26</f>
        <v>#N/A</v>
      </c>
      <c r="C26" s="1" t="e">
        <f>'Round 6 Finals'!C26</f>
        <v>#N/A</v>
      </c>
      <c r="D26" s="1">
        <f>'Round 6 Finals'!D26</f>
        <v>0</v>
      </c>
      <c r="E26" s="2"/>
      <c r="O26" s="2"/>
    </row>
    <row r="27" spans="1:23" x14ac:dyDescent="0.3">
      <c r="A27" s="3"/>
      <c r="E27" s="2"/>
      <c r="F27" s="1" t="str">
        <f>'Round 6 Finals'!F27</f>
        <v/>
      </c>
      <c r="G27" s="1" t="str">
        <f>'Round 6 Finals'!G27</f>
        <v/>
      </c>
      <c r="H27" s="1" t="str">
        <f>'Round 6 Finals'!H27</f>
        <v/>
      </c>
      <c r="I27" s="1">
        <f>'Round 6 Finals'!I27</f>
        <v>0</v>
      </c>
      <c r="J27" s="2"/>
      <c r="O27" s="2"/>
    </row>
    <row r="28" spans="1:23" x14ac:dyDescent="0.3">
      <c r="A28" s="1">
        <f>'Round 6 Finals'!A28</f>
        <v>14</v>
      </c>
      <c r="B28" s="1" t="e">
        <f>'Round 6 Finals'!B28</f>
        <v>#N/A</v>
      </c>
      <c r="C28" s="1" t="e">
        <f>'Round 6 Finals'!C28</f>
        <v>#N/A</v>
      </c>
      <c r="D28" s="1">
        <f>'Round 6 Finals'!D28</f>
        <v>0</v>
      </c>
      <c r="E28" s="2"/>
      <c r="J28" s="2"/>
      <c r="O28" s="2"/>
    </row>
    <row r="29" spans="1:23" x14ac:dyDescent="0.3">
      <c r="J29" s="2"/>
      <c r="K29" s="1" t="str">
        <f>'Round 6 Finals'!K29</f>
        <v/>
      </c>
      <c r="L29" s="1" t="str">
        <f>'Round 6 Finals'!L29</f>
        <v/>
      </c>
      <c r="M29" s="1" t="str">
        <f>'Round 6 Finals'!M29</f>
        <v/>
      </c>
      <c r="N29" s="1">
        <f>'Round 6 Finals'!N29</f>
        <v>0</v>
      </c>
      <c r="O29" s="2"/>
    </row>
    <row r="30" spans="1:23" x14ac:dyDescent="0.3">
      <c r="A30" s="1">
        <f>'Round 6 Finals'!A30</f>
        <v>6</v>
      </c>
      <c r="B30" s="1" t="e">
        <f>'Round 6 Finals'!B30</f>
        <v>#N/A</v>
      </c>
      <c r="C30" s="1" t="e">
        <f>'Round 6 Finals'!C30</f>
        <v>#N/A</v>
      </c>
      <c r="D30" s="1">
        <f>'Round 6 Finals'!D30</f>
        <v>0</v>
      </c>
      <c r="E30" s="2"/>
      <c r="J30" s="2"/>
    </row>
    <row r="31" spans="1:23" x14ac:dyDescent="0.3">
      <c r="A31" s="3"/>
      <c r="E31" s="2"/>
      <c r="F31" s="1" t="str">
        <f>'Round 6 Finals'!F31</f>
        <v/>
      </c>
      <c r="G31" s="1" t="str">
        <f>'Round 6 Finals'!G31</f>
        <v/>
      </c>
      <c r="H31" s="1" t="str">
        <f>'Round 6 Finals'!H31</f>
        <v/>
      </c>
      <c r="I31" s="1">
        <f>'Round 6 Finals'!I31</f>
        <v>0</v>
      </c>
      <c r="J31" s="2"/>
      <c r="P31" s="1" t="str">
        <f>'Round 6 Finals'!P31</f>
        <v/>
      </c>
      <c r="Q31" s="1" t="str">
        <f>'Round 6 Finals'!Q31</f>
        <v/>
      </c>
      <c r="R31" s="1" t="str">
        <f>'Round 6 Finals'!R31</f>
        <v/>
      </c>
      <c r="S31" s="1">
        <f>'Round 6 Finals'!S31</f>
        <v>0</v>
      </c>
      <c r="T31" s="2"/>
    </row>
    <row r="32" spans="1:23" x14ac:dyDescent="0.3">
      <c r="A32" s="1">
        <f>'Round 6 Finals'!A32</f>
        <v>11</v>
      </c>
      <c r="B32" s="1" t="e">
        <f>'Round 6 Finals'!B32</f>
        <v>#N/A</v>
      </c>
      <c r="C32" s="1" t="e">
        <f>'Round 6 Finals'!C32</f>
        <v>#N/A</v>
      </c>
      <c r="D32" s="1">
        <f>'Round 6 Finals'!D32</f>
        <v>0</v>
      </c>
      <c r="E32" s="2"/>
      <c r="T32" s="2"/>
      <c r="U32" s="1"/>
      <c r="V32" s="1" t="str">
        <f>'Round 6 Finals'!V32</f>
        <v/>
      </c>
      <c r="W32" s="1" t="str">
        <f>'Round 6 Finals'!W32</f>
        <v/>
      </c>
    </row>
    <row r="33" spans="16:20" x14ac:dyDescent="0.3">
      <c r="P33" s="1" t="str">
        <f>'Round 6 Finals'!P33</f>
        <v/>
      </c>
      <c r="Q33" s="1" t="str">
        <f>'Round 6 Finals'!Q33</f>
        <v/>
      </c>
      <c r="R33" s="1" t="str">
        <f>'Round 6 Finals'!R33</f>
        <v/>
      </c>
      <c r="S33" s="1">
        <f>'Round 6 Finals'!S33</f>
        <v>0</v>
      </c>
      <c r="T33" s="2"/>
    </row>
  </sheetData>
  <sheetProtection sheet="1" objects="1" scenarios="1"/>
  <conditionalFormatting sqref="A2:D2">
    <cfRule type="expression" dxfId="389" priority="39">
      <formula>AND($D2=$D4,$A2&lt;$A4)</formula>
    </cfRule>
    <cfRule type="expression" dxfId="388" priority="42">
      <formula>$D2&gt;$D4</formula>
    </cfRule>
    <cfRule type="expression" dxfId="387" priority="40">
      <formula>$D2&lt;$D4</formula>
    </cfRule>
  </conditionalFormatting>
  <conditionalFormatting sqref="A4:D4">
    <cfRule type="expression" dxfId="386" priority="38">
      <formula>$D4&lt;$D2</formula>
    </cfRule>
    <cfRule type="expression" dxfId="385" priority="37">
      <formula>AND($D4=$D2,$A4&lt;$A2)</formula>
    </cfRule>
    <cfRule type="expression" dxfId="384" priority="41">
      <formula>$D4&gt;$D2</formula>
    </cfRule>
  </conditionalFormatting>
  <conditionalFormatting sqref="A6:D6 A10:D10 A14:D14 A18:D18 A22:D22 A26:D26 A30:D30">
    <cfRule type="expression" dxfId="383" priority="11">
      <formula>$D6&lt;$D8</formula>
    </cfRule>
    <cfRule type="expression" dxfId="382" priority="10">
      <formula>AND($D6=$D8,$A6&lt;$A8)</formula>
    </cfRule>
    <cfRule type="expression" dxfId="381" priority="12">
      <formula>$D6&gt;$D8</formula>
    </cfRule>
  </conditionalFormatting>
  <conditionalFormatting sqref="A8:D8 A12:D12 A16:D16 A20:D20 A24:D24 A28:D28 A32:D32">
    <cfRule type="expression" dxfId="380" priority="7">
      <formula>AND($D8=$D6,$A8&lt;$A6)</formula>
    </cfRule>
    <cfRule type="expression" dxfId="379" priority="8">
      <formula>$D8&lt;$D6</formula>
    </cfRule>
    <cfRule type="expression" dxfId="378" priority="9">
      <formula>$D8&gt;$D6</formula>
    </cfRule>
  </conditionalFormatting>
  <conditionalFormatting sqref="F3:I3">
    <cfRule type="expression" dxfId="377" priority="36">
      <formula>$I3&gt;$I7</formula>
    </cfRule>
    <cfRule type="expression" dxfId="376" priority="35">
      <formula>$I3&lt;$I7</formula>
    </cfRule>
    <cfRule type="expression" dxfId="375" priority="34">
      <formula>AND($I3=$I7,$F3&lt;$F7)</formula>
    </cfRule>
  </conditionalFormatting>
  <conditionalFormatting sqref="F7:I7">
    <cfRule type="expression" dxfId="374" priority="30">
      <formula>$I7&gt;$I3</formula>
    </cfRule>
    <cfRule type="expression" dxfId="373" priority="29">
      <formula>$I7&lt;$I3</formula>
    </cfRule>
    <cfRule type="expression" dxfId="372" priority="28">
      <formula>AND($I7=$I3,$F7&lt;$F3)</formula>
    </cfRule>
  </conditionalFormatting>
  <conditionalFormatting sqref="F11:I11 F19:I19 F27:I27">
    <cfRule type="expression" dxfId="371" priority="33">
      <formula>$I11&gt;$I15</formula>
    </cfRule>
    <cfRule type="expression" dxfId="370" priority="31">
      <formula>AND($I11=$I15,$F11&lt;$F15)</formula>
    </cfRule>
    <cfRule type="expression" dxfId="369" priority="32">
      <formula>$I11&lt;$I15</formula>
    </cfRule>
  </conditionalFormatting>
  <conditionalFormatting sqref="F15:I15 F23:I23 F31:I31">
    <cfRule type="expression" dxfId="368" priority="27">
      <formula>$I15&gt;$I11</formula>
    </cfRule>
    <cfRule type="expression" dxfId="367" priority="26">
      <formula>$I15&lt;$I11</formula>
    </cfRule>
    <cfRule type="expression" dxfId="366" priority="25">
      <formula>AND($I15=$I11,$F15&lt;$F11)</formula>
    </cfRule>
  </conditionalFormatting>
  <conditionalFormatting sqref="K5:N5">
    <cfRule type="expression" dxfId="365" priority="22">
      <formula>AND($N5=$N13,$K5&lt;$K13)</formula>
    </cfRule>
    <cfRule type="expression" dxfId="364" priority="23">
      <formula>$N5&lt;$N13</formula>
    </cfRule>
    <cfRule type="expression" dxfId="363" priority="24">
      <formula>$N5&gt;$N13</formula>
    </cfRule>
  </conditionalFormatting>
  <conditionalFormatting sqref="K13:N13">
    <cfRule type="expression" dxfId="362" priority="18">
      <formula>$N13&gt;$N5</formula>
    </cfRule>
    <cfRule type="expression" dxfId="361" priority="16">
      <formula>AND($N13=$N5,$K13&lt;$K5)</formula>
    </cfRule>
    <cfRule type="expression" dxfId="360" priority="17">
      <formula>$N13&lt;$N5</formula>
    </cfRule>
  </conditionalFormatting>
  <conditionalFormatting sqref="K21:N21">
    <cfRule type="expression" dxfId="359" priority="19">
      <formula>AND($N21=$N29,$K21&lt;$K29)</formula>
    </cfRule>
    <cfRule type="expression" dxfId="358" priority="21">
      <formula>$N21&gt;$N29</formula>
    </cfRule>
    <cfRule type="expression" dxfId="357" priority="20">
      <formula>$N21&lt;$N29</formula>
    </cfRule>
  </conditionalFormatting>
  <conditionalFormatting sqref="K29:N29">
    <cfRule type="expression" dxfId="356" priority="15">
      <formula>$N29&gt;$N21</formula>
    </cfRule>
    <cfRule type="expression" dxfId="355" priority="14">
      <formula>$N29&lt;$N21</formula>
    </cfRule>
    <cfRule type="expression" dxfId="354" priority="13">
      <formula>AND($N29=$N21,$K29&lt;$K21)</formula>
    </cfRule>
  </conditionalFormatting>
  <conditionalFormatting sqref="P9:S9">
    <cfRule type="expression" dxfId="353" priority="5">
      <formula>$S9&lt;$S25</formula>
    </cfRule>
    <cfRule type="expression" dxfId="352" priority="4">
      <formula>AND($S9=$S25,$P9&lt;$P25)</formula>
    </cfRule>
    <cfRule type="expression" dxfId="351" priority="6">
      <formula>$S9&gt;$S25</formula>
    </cfRule>
  </conditionalFormatting>
  <conditionalFormatting sqref="P25:S25">
    <cfRule type="expression" dxfId="350" priority="1">
      <formula>AND($S25=$S9,$P25&lt;$P9)</formula>
    </cfRule>
    <cfRule type="expression" dxfId="349" priority="3">
      <formula>$S25&gt;$S9</formula>
    </cfRule>
    <cfRule type="expression" dxfId="348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B7E4-2E34-48E3-9682-18F0D673CB5F}">
  <dimension ref="A1:AO27"/>
  <sheetViews>
    <sheetView workbookViewId="0">
      <selection activeCell="A19" sqref="A19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7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 t="e">
        <f>VLOOKUP('Round 7'!$A3,INDEX(Entry!$E$2:$U$23,1,'Round 7'!$A$1*2-1):'Entry'!$U$33,18-$A$1*2,0)</f>
        <v>#N/A</v>
      </c>
      <c r="C3" t="e">
        <f>VLOOKUP('Round 7'!$A3,INDEX(Entry!$E$2:$U$23,1,'Round 7'!$A$1*2-1):'Entry'!$U$33,19-$A$1*2,0)</f>
        <v>#N/A</v>
      </c>
      <c r="H3">
        <f>ROUND(IFERROR(AVERAGE(E3:G3),0),2)</f>
        <v>0</v>
      </c>
      <c r="L3">
        <f t="shared" ref="L3:L27" si="0">ROUND(IFERROR(AVERAGE(I3:K3),0),2)</f>
        <v>0</v>
      </c>
      <c r="M3">
        <f>MAX(H3:L3)</f>
        <v>0</v>
      </c>
      <c r="N3">
        <f>IF(H3=M3,L3,H3)</f>
        <v>0</v>
      </c>
      <c r="O3">
        <f>IFERROR(M3+N3/1000+((1000-B3)/1000000),0)</f>
        <v>0</v>
      </c>
      <c r="P3">
        <f>RANK(O3,$O$3:$O$27,0)</f>
        <v>1</v>
      </c>
      <c r="R3" t="e">
        <f>B3</f>
        <v>#N/A</v>
      </c>
      <c r="S3" t="e">
        <f>C3</f>
        <v>#N/A</v>
      </c>
      <c r="T3">
        <f>Table271115192327[[#This Row],[Max]]</f>
        <v>0</v>
      </c>
      <c r="U3">
        <f>Table271115192327[[#This Row],[Min]]</f>
        <v>0</v>
      </c>
      <c r="X3" t="e">
        <f>Table161014182226[[#This Row],[Column1]]</f>
        <v>#N/A</v>
      </c>
      <c r="Y3">
        <v>1</v>
      </c>
      <c r="Z3" t="e">
        <f t="shared" ref="Z3:Z27" si="1">VLOOKUP(Y3,$P$3:$U$27,3,0)</f>
        <v>#N/A</v>
      </c>
      <c r="AA3" t="e">
        <f t="shared" ref="AA3:AA27" si="2">VLOOKUP(Y3,$P$3:$U$27,4,0)</f>
        <v>#N/A</v>
      </c>
      <c r="AB3">
        <f t="shared" ref="AB3:AB27" si="3">VLOOKUP(Y3,$P$3:$U$27,5,0)</f>
        <v>0</v>
      </c>
      <c r="AC3">
        <f t="shared" ref="AC3:AC27" si="4">VLOOKUP(Y3,$P$3:$U$27,6,0)</f>
        <v>0</v>
      </c>
      <c r="AD3" t="e">
        <f>VLOOKUP(Table161014182226[[#This Row],['#]],Table271115192327[['#]:[Drop]],16,0)</f>
        <v>#N/A</v>
      </c>
      <c r="AE3">
        <f>COUNTIF($AD$3:AD3,"X")</f>
        <v>0</v>
      </c>
      <c r="AF3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3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3">
        <v>1</v>
      </c>
      <c r="AJ3" t="e">
        <f>VLOOKUP(AI3,$X$3:$AA$27,3,0)</f>
        <v>#N/A</v>
      </c>
      <c r="AK3" t="e">
        <f>VLOOKUP(AI3,$X$3:$AA$27,4,0)</f>
        <v>#N/A</v>
      </c>
      <c r="AM3" s="1">
        <v>1</v>
      </c>
      <c r="AN3" s="1" t="e">
        <f>VLOOKUP(AM3,$AI$3:$AL$18,2,0)</f>
        <v>#N/A</v>
      </c>
      <c r="AO3" s="1" t="e">
        <f>VLOOKUP(AM3,$AI$3:$AL$18,3,0)</f>
        <v>#N/A</v>
      </c>
    </row>
    <row r="4" spans="1:41" x14ac:dyDescent="0.3">
      <c r="A4">
        <v>2</v>
      </c>
      <c r="B4" t="e">
        <f>VLOOKUP('Round 7'!$A4,INDEX(Entry!$E$2:$U$23,1,'Round 7'!$A$1*2-1):'Entry'!$U$33,18-$A$1*2,0)</f>
        <v>#N/A</v>
      </c>
      <c r="C4" t="e">
        <f>VLOOKUP('Round 7'!$A4,INDEX(Entry!$E$2:$U$23,1,'Round 7'!$A$1*2-1):'Entry'!$U$33,19-$A$1*2,0)</f>
        <v>#N/A</v>
      </c>
      <c r="H4">
        <f t="shared" ref="H4:H27" si="5">ROUND(IFERROR(AVERAGE(E4:G4),0),2)</f>
        <v>0</v>
      </c>
      <c r="L4">
        <f t="shared" si="0"/>
        <v>0</v>
      </c>
      <c r="M4">
        <f t="shared" ref="M4:M27" si="6">MAX(H4:L4)</f>
        <v>0</v>
      </c>
      <c r="N4">
        <f t="shared" ref="N4:N27" si="7">IF(H4=M4,L4,H4)</f>
        <v>0</v>
      </c>
      <c r="O4">
        <f t="shared" ref="O4:O27" si="8">IFERROR(M4+N4/1000+((1000-B4)/1000000),0)</f>
        <v>0</v>
      </c>
      <c r="P4">
        <f t="shared" ref="P4:P27" si="9">RANK(O4,$O$3:$O$27,0)</f>
        <v>1</v>
      </c>
      <c r="R4" t="e">
        <f t="shared" ref="R4:S27" si="10">B4</f>
        <v>#N/A</v>
      </c>
      <c r="S4" t="e">
        <f t="shared" si="10"/>
        <v>#N/A</v>
      </c>
      <c r="T4">
        <f>Table271115192327[[#This Row],[Max]]</f>
        <v>0</v>
      </c>
      <c r="U4">
        <f>Table271115192327[[#This Row],[Min]]</f>
        <v>0</v>
      </c>
      <c r="X4" t="e">
        <f>Table161014182226[[#This Row],[Column1]]</f>
        <v>#N/A</v>
      </c>
      <c r="Y4">
        <v>2</v>
      </c>
      <c r="Z4" t="e">
        <f t="shared" si="1"/>
        <v>#N/A</v>
      </c>
      <c r="AA4" t="e">
        <f t="shared" si="2"/>
        <v>#N/A</v>
      </c>
      <c r="AB4" t="e">
        <f t="shared" si="3"/>
        <v>#N/A</v>
      </c>
      <c r="AC4" t="e">
        <f t="shared" si="4"/>
        <v>#N/A</v>
      </c>
      <c r="AD4" t="e">
        <f>VLOOKUP(Table161014182226[[#This Row],['#]],Table271115192327[['#]:[Drop]],16,0)</f>
        <v>#N/A</v>
      </c>
      <c r="AE4">
        <f>COUNTIF($AD$3:AD4,"X")</f>
        <v>0</v>
      </c>
      <c r="AF4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4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4">
        <v>2</v>
      </c>
      <c r="AJ4" t="e">
        <f t="shared" ref="AJ4:AJ18" si="11">VLOOKUP(AI4,$X$3:$AA$27,3,0)</f>
        <v>#N/A</v>
      </c>
      <c r="AK4" t="e">
        <f t="shared" ref="AK4:AK18" si="12">VLOOKUP(AI4,$X$3:$AA$27,4,0)</f>
        <v>#N/A</v>
      </c>
      <c r="AM4" s="1">
        <v>16</v>
      </c>
      <c r="AN4" s="1" t="e">
        <f>VLOOKUP(AM4,$AI$3:$AL$18,2,0)</f>
        <v>#N/A</v>
      </c>
      <c r="AO4" s="1" t="e">
        <f>VLOOKUP(AM4,$AI$3:$AL$18,3,0)</f>
        <v>#N/A</v>
      </c>
    </row>
    <row r="5" spans="1:41" x14ac:dyDescent="0.3">
      <c r="A5">
        <v>3</v>
      </c>
      <c r="B5" t="e">
        <f>VLOOKUP('Round 7'!$A5,INDEX(Entry!$E$2:$U$23,1,'Round 7'!$A$1*2-1):'Entry'!$U$33,18-$A$1*2,0)</f>
        <v>#N/A</v>
      </c>
      <c r="C5" t="e">
        <f>VLOOKUP('Round 7'!$A5,INDEX(Entry!$E$2:$U$23,1,'Round 7'!$A$1*2-1):'Entry'!$U$33,19-$A$1*2,0)</f>
        <v>#N/A</v>
      </c>
      <c r="H5">
        <f t="shared" si="5"/>
        <v>0</v>
      </c>
      <c r="L5">
        <f t="shared" si="0"/>
        <v>0</v>
      </c>
      <c r="M5">
        <f t="shared" si="6"/>
        <v>0</v>
      </c>
      <c r="N5">
        <f t="shared" si="7"/>
        <v>0</v>
      </c>
      <c r="O5">
        <f t="shared" si="8"/>
        <v>0</v>
      </c>
      <c r="P5">
        <f t="shared" si="9"/>
        <v>1</v>
      </c>
      <c r="R5" t="e">
        <f t="shared" si="10"/>
        <v>#N/A</v>
      </c>
      <c r="S5" t="e">
        <f t="shared" si="10"/>
        <v>#N/A</v>
      </c>
      <c r="T5">
        <f>Table271115192327[[#This Row],[Max]]</f>
        <v>0</v>
      </c>
      <c r="U5">
        <f>Table271115192327[[#This Row],[Min]]</f>
        <v>0</v>
      </c>
      <c r="X5" t="e">
        <f>Table161014182226[[#This Row],[Column1]]</f>
        <v>#N/A</v>
      </c>
      <c r="Y5">
        <v>3</v>
      </c>
      <c r="Z5" t="e">
        <f t="shared" si="1"/>
        <v>#N/A</v>
      </c>
      <c r="AA5" t="e">
        <f t="shared" si="2"/>
        <v>#N/A</v>
      </c>
      <c r="AB5" t="e">
        <f t="shared" si="3"/>
        <v>#N/A</v>
      </c>
      <c r="AC5" t="e">
        <f t="shared" si="4"/>
        <v>#N/A</v>
      </c>
      <c r="AD5" t="e">
        <f>VLOOKUP(Table161014182226[[#This Row],['#]],Table271115192327[['#]:[Drop]],16,0)</f>
        <v>#N/A</v>
      </c>
      <c r="AE5">
        <f>COUNTIF($AD$3:AD5,"X")</f>
        <v>0</v>
      </c>
      <c r="AF5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5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5">
        <v>3</v>
      </c>
      <c r="AJ5" t="e">
        <f t="shared" si="11"/>
        <v>#N/A</v>
      </c>
      <c r="AK5" t="e">
        <f t="shared" si="12"/>
        <v>#N/A</v>
      </c>
    </row>
    <row r="6" spans="1:41" x14ac:dyDescent="0.3">
      <c r="A6">
        <v>4</v>
      </c>
      <c r="B6" t="e">
        <f>VLOOKUP('Round 7'!$A6,INDEX(Entry!$E$2:$U$23,1,'Round 7'!$A$1*2-1):'Entry'!$U$33,18-$A$1*2,0)</f>
        <v>#N/A</v>
      </c>
      <c r="C6" t="e">
        <f>VLOOKUP('Round 7'!$A6,INDEX(Entry!$E$2:$U$23,1,'Round 7'!$A$1*2-1):'Entry'!$U$33,19-$A$1*2,0)</f>
        <v>#N/A</v>
      </c>
      <c r="H6">
        <f t="shared" si="5"/>
        <v>0</v>
      </c>
      <c r="L6">
        <f t="shared" si="0"/>
        <v>0</v>
      </c>
      <c r="M6">
        <f t="shared" si="6"/>
        <v>0</v>
      </c>
      <c r="N6">
        <f t="shared" si="7"/>
        <v>0</v>
      </c>
      <c r="O6">
        <f t="shared" si="8"/>
        <v>0</v>
      </c>
      <c r="P6">
        <f t="shared" si="9"/>
        <v>1</v>
      </c>
      <c r="R6" t="e">
        <f t="shared" si="10"/>
        <v>#N/A</v>
      </c>
      <c r="S6" t="e">
        <f t="shared" si="10"/>
        <v>#N/A</v>
      </c>
      <c r="T6">
        <f>Table271115192327[[#This Row],[Max]]</f>
        <v>0</v>
      </c>
      <c r="U6">
        <f>Table271115192327[[#This Row],[Min]]</f>
        <v>0</v>
      </c>
      <c r="X6" t="e">
        <f>Table161014182226[[#This Row],[Column1]]</f>
        <v>#N/A</v>
      </c>
      <c r="Y6">
        <v>4</v>
      </c>
      <c r="Z6" t="e">
        <f t="shared" si="1"/>
        <v>#N/A</v>
      </c>
      <c r="AA6" t="e">
        <f t="shared" si="2"/>
        <v>#N/A</v>
      </c>
      <c r="AB6" t="e">
        <f t="shared" si="3"/>
        <v>#N/A</v>
      </c>
      <c r="AC6" t="e">
        <f t="shared" si="4"/>
        <v>#N/A</v>
      </c>
      <c r="AD6" t="e">
        <f>VLOOKUP(Table161014182226[[#This Row],['#]],Table271115192327[['#]:[Drop]],16,0)</f>
        <v>#N/A</v>
      </c>
      <c r="AE6">
        <f>COUNTIF($AD$3:AD6,"X")</f>
        <v>0</v>
      </c>
      <c r="AF6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6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6">
        <v>4</v>
      </c>
      <c r="AJ6" t="e">
        <f t="shared" si="11"/>
        <v>#N/A</v>
      </c>
      <c r="AK6" t="e">
        <f t="shared" si="12"/>
        <v>#N/A</v>
      </c>
      <c r="AM6" s="1">
        <v>8</v>
      </c>
      <c r="AN6" s="1" t="e">
        <f>VLOOKUP(AM6,$AI$3:$AL$18,2,0)</f>
        <v>#N/A</v>
      </c>
      <c r="AO6" s="1" t="e">
        <f>VLOOKUP(AM6,$AI$3:$AL$18,3,0)</f>
        <v>#N/A</v>
      </c>
    </row>
    <row r="7" spans="1:41" x14ac:dyDescent="0.3">
      <c r="A7">
        <v>5</v>
      </c>
      <c r="B7" t="e">
        <f>VLOOKUP('Round 7'!$A7,INDEX(Entry!$E$2:$U$23,1,'Round 7'!$A$1*2-1):'Entry'!$U$33,18-$A$1*2,0)</f>
        <v>#N/A</v>
      </c>
      <c r="C7" t="e">
        <f>VLOOKUP('Round 7'!$A7,INDEX(Entry!$E$2:$U$23,1,'Round 7'!$A$1*2-1):'Entry'!$U$33,19-$A$1*2,0)</f>
        <v>#N/A</v>
      </c>
      <c r="H7">
        <f t="shared" si="5"/>
        <v>0</v>
      </c>
      <c r="L7">
        <f t="shared" si="0"/>
        <v>0</v>
      </c>
      <c r="M7">
        <f t="shared" si="6"/>
        <v>0</v>
      </c>
      <c r="N7">
        <f t="shared" si="7"/>
        <v>0</v>
      </c>
      <c r="O7">
        <f t="shared" si="8"/>
        <v>0</v>
      </c>
      <c r="P7">
        <f t="shared" si="9"/>
        <v>1</v>
      </c>
      <c r="R7" t="e">
        <f t="shared" si="10"/>
        <v>#N/A</v>
      </c>
      <c r="S7" t="e">
        <f t="shared" si="10"/>
        <v>#N/A</v>
      </c>
      <c r="T7">
        <f>Table271115192327[[#This Row],[Max]]</f>
        <v>0</v>
      </c>
      <c r="U7">
        <f>Table271115192327[[#This Row],[Min]]</f>
        <v>0</v>
      </c>
      <c r="X7" t="e">
        <f>Table161014182226[[#This Row],[Column1]]</f>
        <v>#N/A</v>
      </c>
      <c r="Y7">
        <v>5</v>
      </c>
      <c r="Z7" t="e">
        <f t="shared" si="1"/>
        <v>#N/A</v>
      </c>
      <c r="AA7" t="e">
        <f t="shared" si="2"/>
        <v>#N/A</v>
      </c>
      <c r="AB7" t="e">
        <f t="shared" si="3"/>
        <v>#N/A</v>
      </c>
      <c r="AC7" t="e">
        <f t="shared" si="4"/>
        <v>#N/A</v>
      </c>
      <c r="AD7" t="e">
        <f>VLOOKUP(Table161014182226[[#This Row],['#]],Table271115192327[['#]:[Drop]],16,0)</f>
        <v>#N/A</v>
      </c>
      <c r="AE7">
        <f>COUNTIF($AD$3:AD7,"X")</f>
        <v>0</v>
      </c>
      <c r="AF7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7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7">
        <v>5</v>
      </c>
      <c r="AJ7" t="e">
        <f t="shared" si="11"/>
        <v>#N/A</v>
      </c>
      <c r="AK7" t="e">
        <f t="shared" si="12"/>
        <v>#N/A</v>
      </c>
      <c r="AM7" s="1">
        <v>9</v>
      </c>
      <c r="AN7" s="1" t="e">
        <f>VLOOKUP(AM7,$AI$3:$AL$18,2,0)</f>
        <v>#N/A</v>
      </c>
      <c r="AO7" s="1" t="e">
        <f>VLOOKUP(AM7,$AI$3:$AL$18,3,0)</f>
        <v>#N/A</v>
      </c>
    </row>
    <row r="8" spans="1:41" x14ac:dyDescent="0.3">
      <c r="A8">
        <v>6</v>
      </c>
      <c r="B8" t="e">
        <f>VLOOKUP('Round 7'!$A8,INDEX(Entry!$E$2:$U$23,1,'Round 7'!$A$1*2-1):'Entry'!$U$33,18-$A$1*2,0)</f>
        <v>#N/A</v>
      </c>
      <c r="C8" t="e">
        <f>VLOOKUP('Round 7'!$A8,INDEX(Entry!$E$2:$U$23,1,'Round 7'!$A$1*2-1):'Entry'!$U$33,19-$A$1*2,0)</f>
        <v>#N/A</v>
      </c>
      <c r="H8">
        <f t="shared" si="5"/>
        <v>0</v>
      </c>
      <c r="L8">
        <f t="shared" si="0"/>
        <v>0</v>
      </c>
      <c r="M8">
        <f t="shared" si="6"/>
        <v>0</v>
      </c>
      <c r="N8">
        <f t="shared" si="7"/>
        <v>0</v>
      </c>
      <c r="O8">
        <f t="shared" si="8"/>
        <v>0</v>
      </c>
      <c r="P8">
        <f t="shared" si="9"/>
        <v>1</v>
      </c>
      <c r="R8" t="e">
        <f t="shared" si="10"/>
        <v>#N/A</v>
      </c>
      <c r="S8" t="e">
        <f t="shared" si="10"/>
        <v>#N/A</v>
      </c>
      <c r="T8">
        <f>Table271115192327[[#This Row],[Max]]</f>
        <v>0</v>
      </c>
      <c r="U8">
        <f>Table271115192327[[#This Row],[Min]]</f>
        <v>0</v>
      </c>
      <c r="X8" t="e">
        <f>Table161014182226[[#This Row],[Column1]]</f>
        <v>#N/A</v>
      </c>
      <c r="Y8">
        <v>6</v>
      </c>
      <c r="Z8" t="e">
        <f t="shared" si="1"/>
        <v>#N/A</v>
      </c>
      <c r="AA8" t="e">
        <f t="shared" si="2"/>
        <v>#N/A</v>
      </c>
      <c r="AB8" t="e">
        <f t="shared" si="3"/>
        <v>#N/A</v>
      </c>
      <c r="AC8" t="e">
        <f t="shared" si="4"/>
        <v>#N/A</v>
      </c>
      <c r="AD8" t="e">
        <f>VLOOKUP(Table161014182226[[#This Row],['#]],Table271115192327[['#]:[Drop]],16,0)</f>
        <v>#N/A</v>
      </c>
      <c r="AE8">
        <f>COUNTIF($AD$3:AD8,"X")</f>
        <v>0</v>
      </c>
      <c r="AF8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8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8">
        <v>6</v>
      </c>
      <c r="AJ8" t="e">
        <f t="shared" si="11"/>
        <v>#N/A</v>
      </c>
      <c r="AK8" t="e">
        <f t="shared" si="12"/>
        <v>#N/A</v>
      </c>
    </row>
    <row r="9" spans="1:41" x14ac:dyDescent="0.3">
      <c r="A9">
        <v>7</v>
      </c>
      <c r="B9" t="e">
        <f>VLOOKUP('Round 7'!$A9,INDEX(Entry!$E$2:$U$23,1,'Round 7'!$A$1*2-1):'Entry'!$U$33,18-$A$1*2,0)</f>
        <v>#N/A</v>
      </c>
      <c r="C9" t="e">
        <f>VLOOKUP('Round 7'!$A9,INDEX(Entry!$E$2:$U$23,1,'Round 7'!$A$1*2-1):'Entry'!$U$33,19-$A$1*2,0)</f>
        <v>#N/A</v>
      </c>
      <c r="H9">
        <f t="shared" si="5"/>
        <v>0</v>
      </c>
      <c r="L9">
        <f t="shared" si="0"/>
        <v>0</v>
      </c>
      <c r="M9">
        <f t="shared" si="6"/>
        <v>0</v>
      </c>
      <c r="N9">
        <f t="shared" si="7"/>
        <v>0</v>
      </c>
      <c r="O9">
        <f t="shared" si="8"/>
        <v>0</v>
      </c>
      <c r="P9">
        <f t="shared" si="9"/>
        <v>1</v>
      </c>
      <c r="R9" t="e">
        <f t="shared" si="10"/>
        <v>#N/A</v>
      </c>
      <c r="S9" t="e">
        <f t="shared" si="10"/>
        <v>#N/A</v>
      </c>
      <c r="T9">
        <f>Table271115192327[[#This Row],[Max]]</f>
        <v>0</v>
      </c>
      <c r="U9">
        <f>Table271115192327[[#This Row],[Min]]</f>
        <v>0</v>
      </c>
      <c r="X9" t="e">
        <f>Table161014182226[[#This Row],[Column1]]</f>
        <v>#N/A</v>
      </c>
      <c r="Y9">
        <v>7</v>
      </c>
      <c r="Z9" t="e">
        <f t="shared" si="1"/>
        <v>#N/A</v>
      </c>
      <c r="AA9" t="e">
        <f t="shared" si="2"/>
        <v>#N/A</v>
      </c>
      <c r="AB9" t="e">
        <f t="shared" si="3"/>
        <v>#N/A</v>
      </c>
      <c r="AC9" t="e">
        <f t="shared" si="4"/>
        <v>#N/A</v>
      </c>
      <c r="AD9" t="e">
        <f>VLOOKUP(Table161014182226[[#This Row],['#]],Table271115192327[['#]:[Drop]],16,0)</f>
        <v>#N/A</v>
      </c>
      <c r="AE9">
        <f>COUNTIF($AD$3:AD9,"X")</f>
        <v>0</v>
      </c>
      <c r="AF9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9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9">
        <v>7</v>
      </c>
      <c r="AJ9" t="e">
        <f t="shared" si="11"/>
        <v>#N/A</v>
      </c>
      <c r="AK9" t="e">
        <f t="shared" si="12"/>
        <v>#N/A</v>
      </c>
      <c r="AM9" s="1">
        <v>4</v>
      </c>
      <c r="AN9" s="1" t="e">
        <f>VLOOKUP(AM9,$AI$3:$AL$18,2,0)</f>
        <v>#N/A</v>
      </c>
      <c r="AO9" s="1" t="e">
        <f>VLOOKUP(AM9,$AI$3:$AL$18,3,0)</f>
        <v>#N/A</v>
      </c>
    </row>
    <row r="10" spans="1:41" x14ac:dyDescent="0.3">
      <c r="A10">
        <v>8</v>
      </c>
      <c r="B10" t="e">
        <f>VLOOKUP('Round 7'!$A10,INDEX(Entry!$E$2:$U$23,1,'Round 7'!$A$1*2-1):'Entry'!$U$33,18-$A$1*2,0)</f>
        <v>#N/A</v>
      </c>
      <c r="C10" t="e">
        <f>VLOOKUP('Round 7'!$A10,INDEX(Entry!$E$2:$U$23,1,'Round 7'!$A$1*2-1):'Entry'!$U$33,19-$A$1*2,0)</f>
        <v>#N/A</v>
      </c>
      <c r="H10">
        <f t="shared" si="5"/>
        <v>0</v>
      </c>
      <c r="L10">
        <f t="shared" si="0"/>
        <v>0</v>
      </c>
      <c r="M10">
        <f t="shared" si="6"/>
        <v>0</v>
      </c>
      <c r="N10">
        <f t="shared" si="7"/>
        <v>0</v>
      </c>
      <c r="O10">
        <f t="shared" si="8"/>
        <v>0</v>
      </c>
      <c r="P10">
        <f t="shared" si="9"/>
        <v>1</v>
      </c>
      <c r="R10" t="e">
        <f t="shared" si="10"/>
        <v>#N/A</v>
      </c>
      <c r="S10" t="e">
        <f t="shared" si="10"/>
        <v>#N/A</v>
      </c>
      <c r="T10">
        <f>Table271115192327[[#This Row],[Max]]</f>
        <v>0</v>
      </c>
      <c r="U10">
        <f>Table271115192327[[#This Row],[Min]]</f>
        <v>0</v>
      </c>
      <c r="X10" t="e">
        <f>Table161014182226[[#This Row],[Column1]]</f>
        <v>#N/A</v>
      </c>
      <c r="Y10">
        <v>8</v>
      </c>
      <c r="Z10" t="e">
        <f t="shared" si="1"/>
        <v>#N/A</v>
      </c>
      <c r="AA10" t="e">
        <f t="shared" si="2"/>
        <v>#N/A</v>
      </c>
      <c r="AB10" t="e">
        <f t="shared" si="3"/>
        <v>#N/A</v>
      </c>
      <c r="AC10" t="e">
        <f t="shared" si="4"/>
        <v>#N/A</v>
      </c>
      <c r="AD10" t="e">
        <f>VLOOKUP(Table161014182226[[#This Row],['#]],Table271115192327[['#]:[Drop]],16,0)</f>
        <v>#N/A</v>
      </c>
      <c r="AE10">
        <f>COUNTIF($AD$3:AD10,"X")</f>
        <v>0</v>
      </c>
      <c r="AF10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0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0">
        <v>8</v>
      </c>
      <c r="AJ10" t="e">
        <f t="shared" si="11"/>
        <v>#N/A</v>
      </c>
      <c r="AK10" t="e">
        <f t="shared" si="12"/>
        <v>#N/A</v>
      </c>
      <c r="AM10" s="1">
        <v>13</v>
      </c>
      <c r="AN10" s="1" t="e">
        <f>VLOOKUP(AM10,$AI$3:$AL$18,2,0)</f>
        <v>#N/A</v>
      </c>
      <c r="AO10" s="1" t="e">
        <f>VLOOKUP(AM10,$AI$3:$AL$18,3,0)</f>
        <v>#N/A</v>
      </c>
    </row>
    <row r="11" spans="1:41" x14ac:dyDescent="0.3">
      <c r="A11">
        <v>9</v>
      </c>
      <c r="B11" t="e">
        <f>VLOOKUP('Round 7'!$A11,INDEX(Entry!$E$2:$U$23,1,'Round 7'!$A$1*2-1):'Entry'!$U$33,18-$A$1*2,0)</f>
        <v>#N/A</v>
      </c>
      <c r="C11" t="e">
        <f>VLOOKUP('Round 7'!$A11,INDEX(Entry!$E$2:$U$23,1,'Round 7'!$A$1*2-1):'Entry'!$U$33,19-$A$1*2,0)</f>
        <v>#N/A</v>
      </c>
      <c r="H11">
        <f t="shared" si="5"/>
        <v>0</v>
      </c>
      <c r="L11">
        <f t="shared" si="0"/>
        <v>0</v>
      </c>
      <c r="M11">
        <f t="shared" si="6"/>
        <v>0</v>
      </c>
      <c r="N11">
        <f t="shared" si="7"/>
        <v>0</v>
      </c>
      <c r="O11">
        <f t="shared" si="8"/>
        <v>0</v>
      </c>
      <c r="P11">
        <f t="shared" si="9"/>
        <v>1</v>
      </c>
      <c r="R11" t="e">
        <f t="shared" si="10"/>
        <v>#N/A</v>
      </c>
      <c r="S11" t="e">
        <f t="shared" si="10"/>
        <v>#N/A</v>
      </c>
      <c r="T11">
        <f>Table271115192327[[#This Row],[Max]]</f>
        <v>0</v>
      </c>
      <c r="U11">
        <f>Table271115192327[[#This Row],[Min]]</f>
        <v>0</v>
      </c>
      <c r="X11" t="e">
        <f>Table161014182226[[#This Row],[Column1]]</f>
        <v>#N/A</v>
      </c>
      <c r="Y11">
        <v>9</v>
      </c>
      <c r="Z11" t="e">
        <f t="shared" si="1"/>
        <v>#N/A</v>
      </c>
      <c r="AA11" t="e">
        <f t="shared" si="2"/>
        <v>#N/A</v>
      </c>
      <c r="AB11" t="e">
        <f t="shared" si="3"/>
        <v>#N/A</v>
      </c>
      <c r="AC11" t="e">
        <f t="shared" si="4"/>
        <v>#N/A</v>
      </c>
      <c r="AD11" t="e">
        <f>VLOOKUP(Table161014182226[[#This Row],['#]],Table271115192327[['#]:[Drop]],16,0)</f>
        <v>#N/A</v>
      </c>
      <c r="AE11">
        <f>COUNTIF($AD$3:AD11,"X")</f>
        <v>0</v>
      </c>
      <c r="AF11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1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1">
        <v>9</v>
      </c>
      <c r="AJ11" t="e">
        <f t="shared" si="11"/>
        <v>#N/A</v>
      </c>
      <c r="AK11" t="e">
        <f t="shared" si="12"/>
        <v>#N/A</v>
      </c>
    </row>
    <row r="12" spans="1:41" x14ac:dyDescent="0.3">
      <c r="A12">
        <v>10</v>
      </c>
      <c r="B12" t="e">
        <f>VLOOKUP('Round 7'!$A12,INDEX(Entry!$E$2:$U$23,1,'Round 7'!$A$1*2-1):'Entry'!$U$33,18-$A$1*2,0)</f>
        <v>#N/A</v>
      </c>
      <c r="C12" t="e">
        <f>VLOOKUP('Round 7'!$A12,INDEX(Entry!$E$2:$U$23,1,'Round 7'!$A$1*2-1):'Entry'!$U$33,19-$A$1*2,0)</f>
        <v>#N/A</v>
      </c>
      <c r="H12">
        <f t="shared" si="5"/>
        <v>0</v>
      </c>
      <c r="L12">
        <f t="shared" si="0"/>
        <v>0</v>
      </c>
      <c r="M12">
        <f t="shared" si="6"/>
        <v>0</v>
      </c>
      <c r="N12">
        <f t="shared" si="7"/>
        <v>0</v>
      </c>
      <c r="O12">
        <f t="shared" si="8"/>
        <v>0</v>
      </c>
      <c r="P12">
        <f t="shared" si="9"/>
        <v>1</v>
      </c>
      <c r="R12" t="e">
        <f t="shared" si="10"/>
        <v>#N/A</v>
      </c>
      <c r="S12" t="e">
        <f t="shared" si="10"/>
        <v>#N/A</v>
      </c>
      <c r="T12">
        <f>Table271115192327[[#This Row],[Max]]</f>
        <v>0</v>
      </c>
      <c r="U12">
        <f>Table271115192327[[#This Row],[Min]]</f>
        <v>0</v>
      </c>
      <c r="X12" t="e">
        <f>Table161014182226[[#This Row],[Column1]]</f>
        <v>#N/A</v>
      </c>
      <c r="Y12">
        <v>10</v>
      </c>
      <c r="Z12" t="e">
        <f t="shared" si="1"/>
        <v>#N/A</v>
      </c>
      <c r="AA12" t="e">
        <f t="shared" si="2"/>
        <v>#N/A</v>
      </c>
      <c r="AB12" t="e">
        <f t="shared" si="3"/>
        <v>#N/A</v>
      </c>
      <c r="AC12" t="e">
        <f t="shared" si="4"/>
        <v>#N/A</v>
      </c>
      <c r="AD12" t="e">
        <f>VLOOKUP(Table161014182226[[#This Row],['#]],Table271115192327[['#]:[Drop]],16,0)</f>
        <v>#N/A</v>
      </c>
      <c r="AE12">
        <f>COUNTIF($AD$3:AD12,"X")</f>
        <v>0</v>
      </c>
      <c r="AF12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2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2">
        <v>10</v>
      </c>
      <c r="AJ12" t="e">
        <f t="shared" si="11"/>
        <v>#N/A</v>
      </c>
      <c r="AK12" t="e">
        <f t="shared" si="12"/>
        <v>#N/A</v>
      </c>
      <c r="AM12" s="1">
        <v>5</v>
      </c>
      <c r="AN12" s="1" t="e">
        <f>VLOOKUP(AM12,$AI$3:$AL$18,2,0)</f>
        <v>#N/A</v>
      </c>
      <c r="AO12" s="1" t="e">
        <f>VLOOKUP(AM12,$AI$3:$AL$18,3,0)</f>
        <v>#N/A</v>
      </c>
    </row>
    <row r="13" spans="1:41" x14ac:dyDescent="0.3">
      <c r="A13">
        <v>11</v>
      </c>
      <c r="B13" t="e">
        <f>VLOOKUP('Round 7'!$A13,INDEX(Entry!$E$2:$U$23,1,'Round 7'!$A$1*2-1):'Entry'!$U$33,18-$A$1*2,0)</f>
        <v>#N/A</v>
      </c>
      <c r="C13" t="e">
        <f>VLOOKUP('Round 7'!$A13,INDEX(Entry!$E$2:$U$23,1,'Round 7'!$A$1*2-1):'Entry'!$U$33,19-$A$1*2,0)</f>
        <v>#N/A</v>
      </c>
      <c r="H13">
        <f t="shared" si="5"/>
        <v>0</v>
      </c>
      <c r="L13">
        <f t="shared" si="0"/>
        <v>0</v>
      </c>
      <c r="M13">
        <f t="shared" si="6"/>
        <v>0</v>
      </c>
      <c r="N13">
        <f t="shared" si="7"/>
        <v>0</v>
      </c>
      <c r="O13">
        <f t="shared" si="8"/>
        <v>0</v>
      </c>
      <c r="P13">
        <f t="shared" si="9"/>
        <v>1</v>
      </c>
      <c r="R13" t="e">
        <f t="shared" si="10"/>
        <v>#N/A</v>
      </c>
      <c r="S13" t="e">
        <f t="shared" si="10"/>
        <v>#N/A</v>
      </c>
      <c r="T13">
        <f>Table271115192327[[#This Row],[Max]]</f>
        <v>0</v>
      </c>
      <c r="U13">
        <f>Table271115192327[[#This Row],[Min]]</f>
        <v>0</v>
      </c>
      <c r="X13" t="e">
        <f>Table161014182226[[#This Row],[Column1]]</f>
        <v>#N/A</v>
      </c>
      <c r="Y13">
        <v>11</v>
      </c>
      <c r="Z13" t="e">
        <f t="shared" si="1"/>
        <v>#N/A</v>
      </c>
      <c r="AA13" t="e">
        <f t="shared" si="2"/>
        <v>#N/A</v>
      </c>
      <c r="AB13" t="e">
        <f t="shared" si="3"/>
        <v>#N/A</v>
      </c>
      <c r="AC13" t="e">
        <f t="shared" si="4"/>
        <v>#N/A</v>
      </c>
      <c r="AD13" t="e">
        <f>VLOOKUP(Table161014182226[[#This Row],['#]],Table271115192327[['#]:[Drop]],16,0)</f>
        <v>#N/A</v>
      </c>
      <c r="AE13">
        <f>COUNTIF($AD$3:AD13,"X")</f>
        <v>0</v>
      </c>
      <c r="AF13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3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3">
        <v>11</v>
      </c>
      <c r="AJ13" t="e">
        <f t="shared" si="11"/>
        <v>#N/A</v>
      </c>
      <c r="AK13" t="e">
        <f t="shared" si="12"/>
        <v>#N/A</v>
      </c>
      <c r="AM13" s="1">
        <v>12</v>
      </c>
      <c r="AN13" s="1" t="e">
        <f>VLOOKUP(AM13,$AI$3:$AL$18,2,0)</f>
        <v>#N/A</v>
      </c>
      <c r="AO13" s="1" t="e">
        <f>VLOOKUP(AM13,$AI$3:$AL$18,3,0)</f>
        <v>#N/A</v>
      </c>
    </row>
    <row r="14" spans="1:41" x14ac:dyDescent="0.3">
      <c r="A14">
        <v>12</v>
      </c>
      <c r="B14" t="e">
        <f>VLOOKUP('Round 7'!$A14,INDEX(Entry!$E$2:$U$23,1,'Round 7'!$A$1*2-1):'Entry'!$U$33,18-$A$1*2,0)</f>
        <v>#N/A</v>
      </c>
      <c r="C14" t="e">
        <f>VLOOKUP('Round 7'!$A14,INDEX(Entry!$E$2:$U$23,1,'Round 7'!$A$1*2-1):'Entry'!$U$33,19-$A$1*2,0)</f>
        <v>#N/A</v>
      </c>
      <c r="H14">
        <f t="shared" si="5"/>
        <v>0</v>
      </c>
      <c r="L14">
        <f t="shared" si="0"/>
        <v>0</v>
      </c>
      <c r="M14">
        <f t="shared" si="6"/>
        <v>0</v>
      </c>
      <c r="N14">
        <f t="shared" si="7"/>
        <v>0</v>
      </c>
      <c r="O14">
        <f t="shared" si="8"/>
        <v>0</v>
      </c>
      <c r="P14">
        <f t="shared" si="9"/>
        <v>1</v>
      </c>
      <c r="R14" t="e">
        <f t="shared" si="10"/>
        <v>#N/A</v>
      </c>
      <c r="S14" t="e">
        <f t="shared" si="10"/>
        <v>#N/A</v>
      </c>
      <c r="T14">
        <f>Table271115192327[[#This Row],[Max]]</f>
        <v>0</v>
      </c>
      <c r="U14">
        <f>Table271115192327[[#This Row],[Min]]</f>
        <v>0</v>
      </c>
      <c r="X14" t="e">
        <f>Table161014182226[[#This Row],[Column1]]</f>
        <v>#N/A</v>
      </c>
      <c r="Y14">
        <v>12</v>
      </c>
      <c r="Z14" t="e">
        <f t="shared" si="1"/>
        <v>#N/A</v>
      </c>
      <c r="AA14" t="e">
        <f t="shared" si="2"/>
        <v>#N/A</v>
      </c>
      <c r="AB14" t="e">
        <f t="shared" si="3"/>
        <v>#N/A</v>
      </c>
      <c r="AC14" t="e">
        <f t="shared" si="4"/>
        <v>#N/A</v>
      </c>
      <c r="AD14" t="e">
        <f>VLOOKUP(Table161014182226[[#This Row],['#]],Table271115192327[['#]:[Drop]],16,0)</f>
        <v>#N/A</v>
      </c>
      <c r="AE14">
        <f>COUNTIF($AD$3:AD14,"X")</f>
        <v>0</v>
      </c>
      <c r="AF14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4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4">
        <v>12</v>
      </c>
      <c r="AJ14" t="e">
        <f t="shared" si="11"/>
        <v>#N/A</v>
      </c>
      <c r="AK14" t="e">
        <f t="shared" si="12"/>
        <v>#N/A</v>
      </c>
    </row>
    <row r="15" spans="1:41" x14ac:dyDescent="0.3">
      <c r="A15">
        <v>13</v>
      </c>
      <c r="B15" t="e">
        <f>VLOOKUP('Round 7'!$A15,INDEX(Entry!$E$2:$U$23,1,'Round 7'!$A$1*2-1):'Entry'!$U$33,18-$A$1*2,0)</f>
        <v>#N/A</v>
      </c>
      <c r="C15" t="e">
        <f>VLOOKUP('Round 7'!$A15,INDEX(Entry!$E$2:$U$23,1,'Round 7'!$A$1*2-1):'Entry'!$U$33,19-$A$1*2,0)</f>
        <v>#N/A</v>
      </c>
      <c r="H15">
        <f t="shared" si="5"/>
        <v>0</v>
      </c>
      <c r="L15">
        <f t="shared" si="0"/>
        <v>0</v>
      </c>
      <c r="M15">
        <f t="shared" si="6"/>
        <v>0</v>
      </c>
      <c r="N15">
        <f t="shared" si="7"/>
        <v>0</v>
      </c>
      <c r="O15">
        <f t="shared" si="8"/>
        <v>0</v>
      </c>
      <c r="P15">
        <f t="shared" si="9"/>
        <v>1</v>
      </c>
      <c r="R15" t="e">
        <f t="shared" si="10"/>
        <v>#N/A</v>
      </c>
      <c r="S15" t="e">
        <f t="shared" si="10"/>
        <v>#N/A</v>
      </c>
      <c r="T15">
        <f>Table271115192327[[#This Row],[Max]]</f>
        <v>0</v>
      </c>
      <c r="U15">
        <f>Table271115192327[[#This Row],[Min]]</f>
        <v>0</v>
      </c>
      <c r="X15" t="e">
        <f>Table161014182226[[#This Row],[Column1]]</f>
        <v>#N/A</v>
      </c>
      <c r="Y15">
        <v>13</v>
      </c>
      <c r="Z15" t="e">
        <f t="shared" si="1"/>
        <v>#N/A</v>
      </c>
      <c r="AA15" t="e">
        <f t="shared" si="2"/>
        <v>#N/A</v>
      </c>
      <c r="AB15" t="e">
        <f t="shared" si="3"/>
        <v>#N/A</v>
      </c>
      <c r="AC15" t="e">
        <f t="shared" si="4"/>
        <v>#N/A</v>
      </c>
      <c r="AD15" t="e">
        <f>VLOOKUP(Table161014182226[[#This Row],['#]],Table271115192327[['#]:[Drop]],16,0)</f>
        <v>#N/A</v>
      </c>
      <c r="AE15">
        <f>COUNTIF($AD$3:AD15,"X")</f>
        <v>0</v>
      </c>
      <c r="AF15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5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5">
        <v>13</v>
      </c>
      <c r="AJ15" t="e">
        <f t="shared" si="11"/>
        <v>#N/A</v>
      </c>
      <c r="AK15" t="e">
        <f t="shared" si="12"/>
        <v>#N/A</v>
      </c>
      <c r="AM15" s="1">
        <v>2</v>
      </c>
      <c r="AN15" s="1" t="e">
        <f>VLOOKUP(AM15,$AI$3:$AL$18,2,0)</f>
        <v>#N/A</v>
      </c>
      <c r="AO15" s="1" t="e">
        <f>VLOOKUP(AM15,$AI$3:$AL$18,3,0)</f>
        <v>#N/A</v>
      </c>
    </row>
    <row r="16" spans="1:41" x14ac:dyDescent="0.3">
      <c r="A16">
        <v>14</v>
      </c>
      <c r="B16" t="e">
        <f>VLOOKUP('Round 7'!$A16,INDEX(Entry!$E$2:$U$23,1,'Round 7'!$A$1*2-1):'Entry'!$U$33,18-$A$1*2,0)</f>
        <v>#N/A</v>
      </c>
      <c r="C16" t="e">
        <f>VLOOKUP('Round 7'!$A16,INDEX(Entry!$E$2:$U$23,1,'Round 7'!$A$1*2-1):'Entry'!$U$33,19-$A$1*2,0)</f>
        <v>#N/A</v>
      </c>
      <c r="H16">
        <f t="shared" si="5"/>
        <v>0</v>
      </c>
      <c r="L16">
        <f t="shared" si="0"/>
        <v>0</v>
      </c>
      <c r="M16">
        <f t="shared" si="6"/>
        <v>0</v>
      </c>
      <c r="N16">
        <f t="shared" si="7"/>
        <v>0</v>
      </c>
      <c r="O16">
        <f t="shared" si="8"/>
        <v>0</v>
      </c>
      <c r="P16">
        <f t="shared" si="9"/>
        <v>1</v>
      </c>
      <c r="R16" t="e">
        <f t="shared" si="10"/>
        <v>#N/A</v>
      </c>
      <c r="S16" t="e">
        <f t="shared" si="10"/>
        <v>#N/A</v>
      </c>
      <c r="T16">
        <f>Table271115192327[[#This Row],[Max]]</f>
        <v>0</v>
      </c>
      <c r="U16">
        <f>Table271115192327[[#This Row],[Min]]</f>
        <v>0</v>
      </c>
      <c r="X16" t="e">
        <f>Table161014182226[[#This Row],[Column1]]</f>
        <v>#N/A</v>
      </c>
      <c r="Y16">
        <v>14</v>
      </c>
      <c r="Z16" t="e">
        <f t="shared" si="1"/>
        <v>#N/A</v>
      </c>
      <c r="AA16" t="e">
        <f t="shared" si="2"/>
        <v>#N/A</v>
      </c>
      <c r="AB16" t="e">
        <f t="shared" si="3"/>
        <v>#N/A</v>
      </c>
      <c r="AC16" t="e">
        <f t="shared" si="4"/>
        <v>#N/A</v>
      </c>
      <c r="AD16" t="e">
        <f>VLOOKUP(Table161014182226[[#This Row],['#]],Table271115192327[['#]:[Drop]],16,0)</f>
        <v>#N/A</v>
      </c>
      <c r="AE16">
        <f>COUNTIF($AD$3:AD16,"X")</f>
        <v>0</v>
      </c>
      <c r="AF16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6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6">
        <v>14</v>
      </c>
      <c r="AJ16" t="e">
        <f t="shared" si="11"/>
        <v>#N/A</v>
      </c>
      <c r="AK16" t="e">
        <f t="shared" si="12"/>
        <v>#N/A</v>
      </c>
      <c r="AM16" s="1">
        <v>15</v>
      </c>
      <c r="AN16" s="1" t="e">
        <f>VLOOKUP(AM16,$AI$3:$AL$18,2,0)</f>
        <v>#N/A</v>
      </c>
      <c r="AO16" s="1" t="e">
        <f>VLOOKUP(AM16,$AI$3:$AL$18,3,0)</f>
        <v>#N/A</v>
      </c>
    </row>
    <row r="17" spans="1:41" x14ac:dyDescent="0.3">
      <c r="A17">
        <v>15</v>
      </c>
      <c r="B17" t="e">
        <f>VLOOKUP('Round 7'!$A17,INDEX(Entry!$E$2:$U$23,1,'Round 7'!$A$1*2-1):'Entry'!$U$33,18-$A$1*2,0)</f>
        <v>#N/A</v>
      </c>
      <c r="C17" t="e">
        <f>VLOOKUP('Round 7'!$A17,INDEX(Entry!$E$2:$U$23,1,'Round 7'!$A$1*2-1):'Entry'!$U$33,19-$A$1*2,0)</f>
        <v>#N/A</v>
      </c>
      <c r="H17">
        <f t="shared" si="5"/>
        <v>0</v>
      </c>
      <c r="L17">
        <f t="shared" si="0"/>
        <v>0</v>
      </c>
      <c r="M17">
        <f t="shared" si="6"/>
        <v>0</v>
      </c>
      <c r="N17">
        <f t="shared" si="7"/>
        <v>0</v>
      </c>
      <c r="O17">
        <f t="shared" si="8"/>
        <v>0</v>
      </c>
      <c r="P17">
        <f t="shared" si="9"/>
        <v>1</v>
      </c>
      <c r="R17" t="e">
        <f t="shared" si="10"/>
        <v>#N/A</v>
      </c>
      <c r="S17" t="e">
        <f t="shared" si="10"/>
        <v>#N/A</v>
      </c>
      <c r="T17">
        <f>Table271115192327[[#This Row],[Max]]</f>
        <v>0</v>
      </c>
      <c r="U17">
        <f>Table271115192327[[#This Row],[Min]]</f>
        <v>0</v>
      </c>
      <c r="X17" t="e">
        <f>Table161014182226[[#This Row],[Column1]]</f>
        <v>#N/A</v>
      </c>
      <c r="Y17">
        <v>15</v>
      </c>
      <c r="Z17" t="e">
        <f t="shared" si="1"/>
        <v>#N/A</v>
      </c>
      <c r="AA17" t="e">
        <f t="shared" si="2"/>
        <v>#N/A</v>
      </c>
      <c r="AB17" t="e">
        <f t="shared" si="3"/>
        <v>#N/A</v>
      </c>
      <c r="AC17" t="e">
        <f t="shared" si="4"/>
        <v>#N/A</v>
      </c>
      <c r="AD17" t="e">
        <f>VLOOKUP(Table161014182226[[#This Row],['#]],Table271115192327[['#]:[Drop]],16,0)</f>
        <v>#N/A</v>
      </c>
      <c r="AE17">
        <f>COUNTIF($AD$3:AD17,"X")</f>
        <v>0</v>
      </c>
      <c r="AF17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7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7">
        <v>15</v>
      </c>
      <c r="AJ17" t="e">
        <f t="shared" si="11"/>
        <v>#N/A</v>
      </c>
      <c r="AK17" t="e">
        <f t="shared" si="12"/>
        <v>#N/A</v>
      </c>
    </row>
    <row r="18" spans="1:41" x14ac:dyDescent="0.3">
      <c r="A18">
        <v>16</v>
      </c>
      <c r="B18" t="e">
        <f>VLOOKUP('Round 7'!$A18,INDEX(Entry!$E$2:$U$23,1,'Round 7'!$A$1*2-1):'Entry'!$U$33,18-$A$1*2,0)</f>
        <v>#N/A</v>
      </c>
      <c r="C18" t="e">
        <f>VLOOKUP('Round 7'!$A18,INDEX(Entry!$E$2:$U$23,1,'Round 7'!$A$1*2-1):'Entry'!$U$33,19-$A$1*2,0)</f>
        <v>#N/A</v>
      </c>
      <c r="H18">
        <f t="shared" si="5"/>
        <v>0</v>
      </c>
      <c r="L18">
        <f t="shared" si="0"/>
        <v>0</v>
      </c>
      <c r="M18">
        <f t="shared" si="6"/>
        <v>0</v>
      </c>
      <c r="N18">
        <f t="shared" si="7"/>
        <v>0</v>
      </c>
      <c r="O18">
        <f t="shared" si="8"/>
        <v>0</v>
      </c>
      <c r="P18">
        <f t="shared" si="9"/>
        <v>1</v>
      </c>
      <c r="R18" t="e">
        <f t="shared" si="10"/>
        <v>#N/A</v>
      </c>
      <c r="S18" t="e">
        <f t="shared" si="10"/>
        <v>#N/A</v>
      </c>
      <c r="T18">
        <f>Table271115192327[[#This Row],[Max]]</f>
        <v>0</v>
      </c>
      <c r="U18">
        <f>Table271115192327[[#This Row],[Min]]</f>
        <v>0</v>
      </c>
      <c r="X18" t="e">
        <f>Table161014182226[[#This Row],[Column1]]</f>
        <v>#N/A</v>
      </c>
      <c r="Y18">
        <v>16</v>
      </c>
      <c r="Z18" t="e">
        <f t="shared" si="1"/>
        <v>#N/A</v>
      </c>
      <c r="AA18" t="e">
        <f t="shared" si="2"/>
        <v>#N/A</v>
      </c>
      <c r="AB18" t="e">
        <f t="shared" si="3"/>
        <v>#N/A</v>
      </c>
      <c r="AC18" t="e">
        <f t="shared" si="4"/>
        <v>#N/A</v>
      </c>
      <c r="AD18" t="e">
        <f>VLOOKUP(Table161014182226[[#This Row],['#]],Table271115192327[['#]:[Drop]],16,0)</f>
        <v>#N/A</v>
      </c>
      <c r="AE18">
        <f>COUNTIF($AD$3:AD18,"X")</f>
        <v>0</v>
      </c>
      <c r="AF18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8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I18">
        <v>16</v>
      </c>
      <c r="AJ18" t="e">
        <f t="shared" si="11"/>
        <v>#N/A</v>
      </c>
      <c r="AK18" t="e">
        <f t="shared" si="12"/>
        <v>#N/A</v>
      </c>
      <c r="AM18" s="1">
        <v>7</v>
      </c>
      <c r="AN18" s="1" t="e">
        <f>VLOOKUP(AM18,$AI$3:$AL$18,2,0)</f>
        <v>#N/A</v>
      </c>
      <c r="AO18" s="1" t="e">
        <f>VLOOKUP(AM18,$AI$3:$AL$18,3,0)</f>
        <v>#N/A</v>
      </c>
    </row>
    <row r="19" spans="1:41" x14ac:dyDescent="0.3">
      <c r="A19">
        <v>17</v>
      </c>
      <c r="B19" t="e">
        <f>VLOOKUP('Round 7'!$A19,INDEX(Entry!$E$2:$U$23,1,'Round 7'!$A$1*2-1):'Entry'!$U$33,18-$A$1*2,0)</f>
        <v>#N/A</v>
      </c>
      <c r="C19" t="e">
        <f>VLOOKUP('Round 7'!$A19,INDEX(Entry!$E$2:$U$23,1,'Round 7'!$A$1*2-1):'Entry'!$U$33,19-$A$1*2,0)</f>
        <v>#N/A</v>
      </c>
      <c r="H19">
        <f t="shared" si="5"/>
        <v>0</v>
      </c>
      <c r="L19">
        <f t="shared" si="0"/>
        <v>0</v>
      </c>
      <c r="M19">
        <f t="shared" si="6"/>
        <v>0</v>
      </c>
      <c r="N19">
        <f t="shared" si="7"/>
        <v>0</v>
      </c>
      <c r="O19">
        <f t="shared" si="8"/>
        <v>0</v>
      </c>
      <c r="P19">
        <f t="shared" si="9"/>
        <v>1</v>
      </c>
      <c r="R19" t="e">
        <f t="shared" si="10"/>
        <v>#N/A</v>
      </c>
      <c r="S19" t="e">
        <f t="shared" si="10"/>
        <v>#N/A</v>
      </c>
      <c r="T19">
        <f>Table271115192327[[#This Row],[Max]]</f>
        <v>0</v>
      </c>
      <c r="U19">
        <f>Table271115192327[[#This Row],[Min]]</f>
        <v>0</v>
      </c>
      <c r="X19" t="e">
        <f>Table161014182226[[#This Row],[Column1]]</f>
        <v>#N/A</v>
      </c>
      <c r="Y19">
        <v>17</v>
      </c>
      <c r="Z19" t="e">
        <f t="shared" si="1"/>
        <v>#N/A</v>
      </c>
      <c r="AA19" t="e">
        <f t="shared" si="2"/>
        <v>#N/A</v>
      </c>
      <c r="AB19" t="e">
        <f t="shared" si="3"/>
        <v>#N/A</v>
      </c>
      <c r="AC19" t="e">
        <f t="shared" si="4"/>
        <v>#N/A</v>
      </c>
      <c r="AD19" t="e">
        <f>VLOOKUP(Table161014182226[[#This Row],['#]],Table271115192327[['#]:[Drop]],16,0)</f>
        <v>#N/A</v>
      </c>
      <c r="AE19">
        <f>COUNTIF($AD$3:AD19,"X")</f>
        <v>0</v>
      </c>
      <c r="AF19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19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M19" s="1">
        <v>10</v>
      </c>
      <c r="AN19" s="1" t="e">
        <f>VLOOKUP(AM19,$AI$3:$AL$18,2,0)</f>
        <v>#N/A</v>
      </c>
      <c r="AO19" s="1" t="e">
        <f>VLOOKUP(AM19,$AI$3:$AL$18,3,0)</f>
        <v>#N/A</v>
      </c>
    </row>
    <row r="20" spans="1:41" x14ac:dyDescent="0.3">
      <c r="A20">
        <v>18</v>
      </c>
      <c r="B20" t="e">
        <f>VLOOKUP('Round 7'!$A20,INDEX(Entry!$E$2:$U$23,1,'Round 7'!$A$1*2-1):'Entry'!$U$33,18-$A$1*2,0)</f>
        <v>#N/A</v>
      </c>
      <c r="C20" t="e">
        <f>VLOOKUP('Round 7'!$A20,INDEX(Entry!$E$2:$U$23,1,'Round 7'!$A$1*2-1):'Entry'!$U$33,19-$A$1*2,0)</f>
        <v>#N/A</v>
      </c>
      <c r="H20">
        <f t="shared" si="5"/>
        <v>0</v>
      </c>
      <c r="L20">
        <f t="shared" si="0"/>
        <v>0</v>
      </c>
      <c r="M20">
        <f t="shared" si="6"/>
        <v>0</v>
      </c>
      <c r="N20">
        <f t="shared" si="7"/>
        <v>0</v>
      </c>
      <c r="O20">
        <f t="shared" si="8"/>
        <v>0</v>
      </c>
      <c r="P20">
        <f t="shared" si="9"/>
        <v>1</v>
      </c>
      <c r="R20" t="e">
        <f t="shared" si="10"/>
        <v>#N/A</v>
      </c>
      <c r="S20" t="e">
        <f t="shared" si="10"/>
        <v>#N/A</v>
      </c>
      <c r="T20">
        <f>Table271115192327[[#This Row],[Max]]</f>
        <v>0</v>
      </c>
      <c r="U20">
        <f>Table271115192327[[#This Row],[Min]]</f>
        <v>0</v>
      </c>
      <c r="X20" t="e">
        <f>Table161014182226[[#This Row],[Column1]]</f>
        <v>#N/A</v>
      </c>
      <c r="Y20">
        <v>18</v>
      </c>
      <c r="Z20" t="e">
        <f t="shared" si="1"/>
        <v>#N/A</v>
      </c>
      <c r="AA20" t="e">
        <f t="shared" si="2"/>
        <v>#N/A</v>
      </c>
      <c r="AB20" t="e">
        <f t="shared" si="3"/>
        <v>#N/A</v>
      </c>
      <c r="AC20" t="e">
        <f t="shared" si="4"/>
        <v>#N/A</v>
      </c>
      <c r="AD20" t="e">
        <f>VLOOKUP(Table161014182226[[#This Row],['#]],Table271115192327[['#]:[Drop]],16,0)</f>
        <v>#N/A</v>
      </c>
      <c r="AE20">
        <f>COUNTIF($AD$3:AD20,"X")</f>
        <v>0</v>
      </c>
      <c r="AF20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0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</row>
    <row r="21" spans="1:41" x14ac:dyDescent="0.3">
      <c r="A21">
        <v>19</v>
      </c>
      <c r="B21" t="e">
        <f>VLOOKUP('Round 7'!$A21,INDEX(Entry!$E$2:$U$23,1,'Round 7'!$A$1*2-1):'Entry'!$U$33,18-$A$1*2,0)</f>
        <v>#N/A</v>
      </c>
      <c r="C21" t="e">
        <f>VLOOKUP('Round 7'!$A21,INDEX(Entry!$E$2:$U$23,1,'Round 7'!$A$1*2-1):'Entry'!$U$33,19-$A$1*2,0)</f>
        <v>#N/A</v>
      </c>
      <c r="H21">
        <f t="shared" si="5"/>
        <v>0</v>
      </c>
      <c r="L21">
        <f t="shared" si="0"/>
        <v>0</v>
      </c>
      <c r="M21">
        <f t="shared" si="6"/>
        <v>0</v>
      </c>
      <c r="N21">
        <f t="shared" si="7"/>
        <v>0</v>
      </c>
      <c r="O21">
        <f t="shared" si="8"/>
        <v>0</v>
      </c>
      <c r="P21">
        <f t="shared" si="9"/>
        <v>1</v>
      </c>
      <c r="R21" t="e">
        <f t="shared" si="10"/>
        <v>#N/A</v>
      </c>
      <c r="S21" t="e">
        <f t="shared" si="10"/>
        <v>#N/A</v>
      </c>
      <c r="T21">
        <f>Table271115192327[[#This Row],[Max]]</f>
        <v>0</v>
      </c>
      <c r="U21">
        <f>Table271115192327[[#This Row],[Min]]</f>
        <v>0</v>
      </c>
      <c r="X21" t="e">
        <f>Table161014182226[[#This Row],[Column1]]</f>
        <v>#N/A</v>
      </c>
      <c r="Y21">
        <v>19</v>
      </c>
      <c r="Z21" t="e">
        <f t="shared" si="1"/>
        <v>#N/A</v>
      </c>
      <c r="AA21" t="e">
        <f t="shared" si="2"/>
        <v>#N/A</v>
      </c>
      <c r="AB21" t="e">
        <f t="shared" si="3"/>
        <v>#N/A</v>
      </c>
      <c r="AC21" t="e">
        <f t="shared" si="4"/>
        <v>#N/A</v>
      </c>
      <c r="AD21" t="e">
        <f>VLOOKUP(Table161014182226[[#This Row],['#]],Table271115192327[['#]:[Drop]],16,0)</f>
        <v>#N/A</v>
      </c>
      <c r="AE21">
        <f>COUNTIF($AD$3:AD21,"X")</f>
        <v>0</v>
      </c>
      <c r="AF21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1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M21" s="1">
        <v>3</v>
      </c>
      <c r="AN21" s="1" t="e">
        <f>VLOOKUP(AM21,$AI$3:$AL$18,2,0)</f>
        <v>#N/A</v>
      </c>
      <c r="AO21" s="1" t="e">
        <f>VLOOKUP(AM21,$AI$3:$AL$18,3,0)</f>
        <v>#N/A</v>
      </c>
    </row>
    <row r="22" spans="1:41" x14ac:dyDescent="0.3">
      <c r="A22">
        <v>20</v>
      </c>
      <c r="B22" t="e">
        <f>VLOOKUP('Round 7'!$A22,INDEX(Entry!$E$2:$U$23,1,'Round 7'!$A$1*2-1):'Entry'!$U$33,18-$A$1*2,0)</f>
        <v>#N/A</v>
      </c>
      <c r="C22" t="e">
        <f>VLOOKUP('Round 7'!$A22,INDEX(Entry!$E$2:$U$23,1,'Round 7'!$A$1*2-1):'Entry'!$U$33,19-$A$1*2,0)</f>
        <v>#N/A</v>
      </c>
      <c r="H22">
        <f t="shared" si="5"/>
        <v>0</v>
      </c>
      <c r="L22">
        <f t="shared" si="0"/>
        <v>0</v>
      </c>
      <c r="M22">
        <f t="shared" si="6"/>
        <v>0</v>
      </c>
      <c r="N22">
        <f t="shared" si="7"/>
        <v>0</v>
      </c>
      <c r="O22">
        <f t="shared" si="8"/>
        <v>0</v>
      </c>
      <c r="P22">
        <f t="shared" si="9"/>
        <v>1</v>
      </c>
      <c r="R22" t="e">
        <f t="shared" si="10"/>
        <v>#N/A</v>
      </c>
      <c r="S22" t="e">
        <f t="shared" si="10"/>
        <v>#N/A</v>
      </c>
      <c r="T22">
        <f>Table271115192327[[#This Row],[Max]]</f>
        <v>0</v>
      </c>
      <c r="U22">
        <f>Table271115192327[[#This Row],[Min]]</f>
        <v>0</v>
      </c>
      <c r="X22" t="e">
        <f>Table161014182226[[#This Row],[Column1]]</f>
        <v>#N/A</v>
      </c>
      <c r="Y22">
        <v>20</v>
      </c>
      <c r="Z22" t="e">
        <f t="shared" si="1"/>
        <v>#N/A</v>
      </c>
      <c r="AA22" t="e">
        <f t="shared" si="2"/>
        <v>#N/A</v>
      </c>
      <c r="AB22" t="e">
        <f t="shared" si="3"/>
        <v>#N/A</v>
      </c>
      <c r="AC22" t="e">
        <f t="shared" si="4"/>
        <v>#N/A</v>
      </c>
      <c r="AD22" t="e">
        <f>VLOOKUP(Table161014182226[[#This Row],['#]],Table271115192327[['#]:[Drop]],16,0)</f>
        <v>#N/A</v>
      </c>
      <c r="AE22">
        <f>COUNTIF($AD$3:AD22,"X")</f>
        <v>0</v>
      </c>
      <c r="AF22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2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M22" s="1">
        <v>14</v>
      </c>
      <c r="AN22" s="1" t="e">
        <f>VLOOKUP(AM22,$AI$3:$AL$18,2,0)</f>
        <v>#N/A</v>
      </c>
      <c r="AO22" s="1" t="e">
        <f>VLOOKUP(AM22,$AI$3:$AL$18,3,0)</f>
        <v>#N/A</v>
      </c>
    </row>
    <row r="23" spans="1:41" x14ac:dyDescent="0.3">
      <c r="A23">
        <v>21</v>
      </c>
      <c r="B23" t="e">
        <f>VLOOKUP('Round 7'!$A23,INDEX(Entry!$E$2:$U$23,1,'Round 7'!$A$1*2-1):'Entry'!$U$33,18-$A$1*2,0)</f>
        <v>#N/A</v>
      </c>
      <c r="C23" t="e">
        <f>VLOOKUP('Round 7'!$A23,INDEX(Entry!$E$2:$U$23,1,'Round 7'!$A$1*2-1):'Entry'!$U$33,19-$A$1*2,0)</f>
        <v>#N/A</v>
      </c>
      <c r="H23">
        <f t="shared" si="5"/>
        <v>0</v>
      </c>
      <c r="L23">
        <f t="shared" si="0"/>
        <v>0</v>
      </c>
      <c r="M23">
        <f t="shared" si="6"/>
        <v>0</v>
      </c>
      <c r="N23">
        <f t="shared" si="7"/>
        <v>0</v>
      </c>
      <c r="O23">
        <f t="shared" si="8"/>
        <v>0</v>
      </c>
      <c r="P23">
        <f t="shared" si="9"/>
        <v>1</v>
      </c>
      <c r="R23" t="e">
        <f t="shared" si="10"/>
        <v>#N/A</v>
      </c>
      <c r="S23" t="e">
        <f t="shared" si="10"/>
        <v>#N/A</v>
      </c>
      <c r="T23">
        <f>Table271115192327[[#This Row],[Max]]</f>
        <v>0</v>
      </c>
      <c r="U23">
        <f>Table271115192327[[#This Row],[Min]]</f>
        <v>0</v>
      </c>
      <c r="X23" t="e">
        <f>Table161014182226[[#This Row],[Column1]]</f>
        <v>#N/A</v>
      </c>
      <c r="Y23">
        <v>21</v>
      </c>
      <c r="Z23" t="e">
        <f t="shared" si="1"/>
        <v>#N/A</v>
      </c>
      <c r="AA23" t="e">
        <f t="shared" si="2"/>
        <v>#N/A</v>
      </c>
      <c r="AB23" t="e">
        <f t="shared" si="3"/>
        <v>#N/A</v>
      </c>
      <c r="AC23" t="e">
        <f t="shared" si="4"/>
        <v>#N/A</v>
      </c>
      <c r="AD23" t="e">
        <f>VLOOKUP(Table161014182226[[#This Row],['#]],Table271115192327[['#]:[Drop]],16,0)</f>
        <v>#N/A</v>
      </c>
      <c r="AE23">
        <f>COUNTIF($AD$3:AD23,"X")</f>
        <v>0</v>
      </c>
      <c r="AF23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3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</row>
    <row r="24" spans="1:41" x14ac:dyDescent="0.3">
      <c r="A24">
        <v>22</v>
      </c>
      <c r="B24" t="e">
        <f>VLOOKUP('Round 7'!$A24,INDEX(Entry!$E$2:$U$23,1,'Round 7'!$A$1*2-1):'Entry'!$U$33,18-$A$1*2,0)</f>
        <v>#N/A</v>
      </c>
      <c r="C24" t="e">
        <f>VLOOKUP('Round 7'!$A24,INDEX(Entry!$E$2:$U$23,1,'Round 7'!$A$1*2-1):'Entry'!$U$33,19-$A$1*2,0)</f>
        <v>#N/A</v>
      </c>
      <c r="H24">
        <f t="shared" si="5"/>
        <v>0</v>
      </c>
      <c r="L24">
        <f t="shared" si="0"/>
        <v>0</v>
      </c>
      <c r="M24">
        <f t="shared" si="6"/>
        <v>0</v>
      </c>
      <c r="N24">
        <f t="shared" si="7"/>
        <v>0</v>
      </c>
      <c r="O24">
        <f t="shared" si="8"/>
        <v>0</v>
      </c>
      <c r="P24">
        <f t="shared" si="9"/>
        <v>1</v>
      </c>
      <c r="R24" t="e">
        <f t="shared" si="10"/>
        <v>#N/A</v>
      </c>
      <c r="S24" t="e">
        <f t="shared" si="10"/>
        <v>#N/A</v>
      </c>
      <c r="T24">
        <f>Table271115192327[[#This Row],[Max]]</f>
        <v>0</v>
      </c>
      <c r="U24">
        <f>Table271115192327[[#This Row],[Min]]</f>
        <v>0</v>
      </c>
      <c r="X24" t="e">
        <f>Table161014182226[[#This Row],[Column1]]</f>
        <v>#N/A</v>
      </c>
      <c r="Y24">
        <v>22</v>
      </c>
      <c r="Z24" t="e">
        <f t="shared" si="1"/>
        <v>#N/A</v>
      </c>
      <c r="AA24" t="e">
        <f t="shared" si="2"/>
        <v>#N/A</v>
      </c>
      <c r="AB24" t="e">
        <f t="shared" si="3"/>
        <v>#N/A</v>
      </c>
      <c r="AC24" t="e">
        <f t="shared" si="4"/>
        <v>#N/A</v>
      </c>
      <c r="AD24" t="e">
        <f>VLOOKUP(Table161014182226[[#This Row],['#]],Table271115192327[['#]:[Drop]],16,0)</f>
        <v>#N/A</v>
      </c>
      <c r="AE24">
        <f>COUNTIF($AD$3:AD24,"X")</f>
        <v>0</v>
      </c>
      <c r="AF24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4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M24" s="1">
        <v>6</v>
      </c>
      <c r="AN24" s="1" t="e">
        <f>VLOOKUP(AM24,$AI$3:$AL$18,2,0)</f>
        <v>#N/A</v>
      </c>
      <c r="AO24" s="1" t="e">
        <f>VLOOKUP(AM24,$AI$3:$AL$18,3,0)</f>
        <v>#N/A</v>
      </c>
    </row>
    <row r="25" spans="1:41" x14ac:dyDescent="0.3">
      <c r="A25">
        <v>23</v>
      </c>
      <c r="B25" t="e">
        <f>VLOOKUP('Round 7'!$A25,INDEX(Entry!$E$2:$U$23,1,'Round 7'!$A$1*2-1):'Entry'!$U$33,18-$A$1*2,0)</f>
        <v>#N/A</v>
      </c>
      <c r="C25" t="e">
        <f>VLOOKUP('Round 7'!$A25,INDEX(Entry!$E$2:$U$23,1,'Round 7'!$A$1*2-1):'Entry'!$U$33,19-$A$1*2,0)</f>
        <v>#N/A</v>
      </c>
      <c r="H25">
        <f t="shared" si="5"/>
        <v>0</v>
      </c>
      <c r="L25">
        <f t="shared" si="0"/>
        <v>0</v>
      </c>
      <c r="M25">
        <f t="shared" si="6"/>
        <v>0</v>
      </c>
      <c r="N25">
        <f t="shared" si="7"/>
        <v>0</v>
      </c>
      <c r="O25">
        <f t="shared" si="8"/>
        <v>0</v>
      </c>
      <c r="P25">
        <f t="shared" si="9"/>
        <v>1</v>
      </c>
      <c r="R25" t="e">
        <f t="shared" si="10"/>
        <v>#N/A</v>
      </c>
      <c r="S25" t="e">
        <f t="shared" si="10"/>
        <v>#N/A</v>
      </c>
      <c r="T25">
        <f>Table271115192327[[#This Row],[Max]]</f>
        <v>0</v>
      </c>
      <c r="U25">
        <f>Table271115192327[[#This Row],[Min]]</f>
        <v>0</v>
      </c>
      <c r="X25" t="e">
        <f>Table161014182226[[#This Row],[Column1]]</f>
        <v>#N/A</v>
      </c>
      <c r="Y25">
        <v>23</v>
      </c>
      <c r="Z25" t="e">
        <f t="shared" si="1"/>
        <v>#N/A</v>
      </c>
      <c r="AA25" t="e">
        <f t="shared" si="2"/>
        <v>#N/A</v>
      </c>
      <c r="AB25" t="e">
        <f t="shared" si="3"/>
        <v>#N/A</v>
      </c>
      <c r="AC25" t="e">
        <f t="shared" si="4"/>
        <v>#N/A</v>
      </c>
      <c r="AD25" t="e">
        <f>VLOOKUP(Table161014182226[[#This Row],['#]],Table271115192327[['#]:[Drop]],16,0)</f>
        <v>#N/A</v>
      </c>
      <c r="AE25">
        <f>COUNTIF($AD$3:AD25,"X")</f>
        <v>0</v>
      </c>
      <c r="AF25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5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  <c r="AM25" s="1">
        <v>11</v>
      </c>
      <c r="AN25" s="1" t="e">
        <f>VLOOKUP(AM25,$AI$3:$AL$18,2,0)</f>
        <v>#N/A</v>
      </c>
      <c r="AO25" s="1" t="e">
        <f>VLOOKUP(AM25,$AI$3:$AL$18,3,0)</f>
        <v>#N/A</v>
      </c>
    </row>
    <row r="26" spans="1:41" x14ac:dyDescent="0.3">
      <c r="A26">
        <v>24</v>
      </c>
      <c r="B26" t="e">
        <f>VLOOKUP('Round 7'!$A26,INDEX(Entry!$E$2:$U$23,1,'Round 7'!$A$1*2-1):'Entry'!$U$33,18-$A$1*2,0)</f>
        <v>#N/A</v>
      </c>
      <c r="C26" t="e">
        <f>VLOOKUP('Round 7'!$A26,INDEX(Entry!$E$2:$U$23,1,'Round 7'!$A$1*2-1):'Entry'!$U$33,19-$A$1*2,0)</f>
        <v>#N/A</v>
      </c>
      <c r="H26">
        <f t="shared" si="5"/>
        <v>0</v>
      </c>
      <c r="L26">
        <f t="shared" si="0"/>
        <v>0</v>
      </c>
      <c r="M26">
        <f t="shared" si="6"/>
        <v>0</v>
      </c>
      <c r="N26">
        <f t="shared" si="7"/>
        <v>0</v>
      </c>
      <c r="O26">
        <f t="shared" si="8"/>
        <v>0</v>
      </c>
      <c r="P26">
        <f t="shared" si="9"/>
        <v>1</v>
      </c>
      <c r="R26" t="e">
        <f t="shared" si="10"/>
        <v>#N/A</v>
      </c>
      <c r="S26" t="e">
        <f t="shared" si="10"/>
        <v>#N/A</v>
      </c>
      <c r="T26">
        <f>Table271115192327[[#This Row],[Max]]</f>
        <v>0</v>
      </c>
      <c r="U26">
        <f>Table271115192327[[#This Row],[Min]]</f>
        <v>0</v>
      </c>
      <c r="X26" t="e">
        <f>Table161014182226[[#This Row],[Column1]]</f>
        <v>#N/A</v>
      </c>
      <c r="Y26">
        <v>24</v>
      </c>
      <c r="Z26" t="e">
        <f t="shared" si="1"/>
        <v>#N/A</v>
      </c>
      <c r="AA26" t="e">
        <f t="shared" si="2"/>
        <v>#N/A</v>
      </c>
      <c r="AB26" t="e">
        <f t="shared" si="3"/>
        <v>#N/A</v>
      </c>
      <c r="AC26" t="e">
        <f t="shared" si="4"/>
        <v>#N/A</v>
      </c>
      <c r="AD26" t="e">
        <f>VLOOKUP(Table161014182226[[#This Row],['#]],Table271115192327[['#]:[Drop]],16,0)</f>
        <v>#N/A</v>
      </c>
      <c r="AE26">
        <f>COUNTIF($AD$3:AD26,"X")</f>
        <v>0</v>
      </c>
      <c r="AF26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6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</row>
    <row r="27" spans="1:41" x14ac:dyDescent="0.3">
      <c r="A27">
        <v>25</v>
      </c>
      <c r="B27" t="e">
        <f>VLOOKUP('Round 7'!$A27,INDEX(Entry!$E$2:$U$23,1,'Round 7'!$A$1*2-1):'Entry'!$U$33,18-$A$1*2,0)</f>
        <v>#N/A</v>
      </c>
      <c r="C27" t="e">
        <f>VLOOKUP('Round 7'!$A27,INDEX(Entry!$E$2:$U$23,1,'Round 7'!$A$1*2-1):'Entry'!$U$33,19-$A$1*2,0)</f>
        <v>#N/A</v>
      </c>
      <c r="H27">
        <f t="shared" si="5"/>
        <v>0</v>
      </c>
      <c r="L27">
        <f t="shared" si="0"/>
        <v>0</v>
      </c>
      <c r="M27">
        <f t="shared" si="6"/>
        <v>0</v>
      </c>
      <c r="N27">
        <f t="shared" si="7"/>
        <v>0</v>
      </c>
      <c r="O27">
        <f t="shared" si="8"/>
        <v>0</v>
      </c>
      <c r="P27">
        <f t="shared" si="9"/>
        <v>1</v>
      </c>
      <c r="R27" t="e">
        <f t="shared" si="10"/>
        <v>#N/A</v>
      </c>
      <c r="S27" t="e">
        <f t="shared" si="10"/>
        <v>#N/A</v>
      </c>
      <c r="T27">
        <f>Table271115192327[[#This Row],[Max]]</f>
        <v>0</v>
      </c>
      <c r="U27">
        <f>Table271115192327[[#This Row],[Min]]</f>
        <v>0</v>
      </c>
      <c r="X27" t="e">
        <f>Table161014182226[[#This Row],[Column1]]</f>
        <v>#N/A</v>
      </c>
      <c r="Y27">
        <v>25</v>
      </c>
      <c r="Z27" t="e">
        <f t="shared" si="1"/>
        <v>#N/A</v>
      </c>
      <c r="AA27" t="e">
        <f t="shared" si="2"/>
        <v>#N/A</v>
      </c>
      <c r="AB27" t="e">
        <f t="shared" si="3"/>
        <v>#N/A</v>
      </c>
      <c r="AC27" t="e">
        <f t="shared" si="4"/>
        <v>#N/A</v>
      </c>
      <c r="AD27" t="e">
        <f>VLOOKUP(Table161014182226[[#This Row],['#]],Table271115192327[['#]:[Drop]],16,0)</f>
        <v>#N/A</v>
      </c>
      <c r="AE27">
        <f>COUNTIF($AD$3:AD27,"X")</f>
        <v>0</v>
      </c>
      <c r="AF27" t="e">
        <f>IF(Table161014182226[[#This Row],[Drop Hide]]="X",16+Table161014182226[[#This Row],[Count drop hide]],IF(Table161014182226[[#This Row],[Rank]]-Table161014182226[[#This Row],[Count drop hide]]&gt;16,Table161014182226[[#This Row],[Rank]],Table161014182226[[#This Row],[Rank]]-Table161014182226[[#This Row],[Count drop hide]]))</f>
        <v>#N/A</v>
      </c>
      <c r="AG27" t="e">
        <f>IF(Table161014182226[[#This Row],[Drop Hide]]="X",10,IF(AND(Table161014182226[[#This Row],[Highest Score]]&gt;0,Table161014182226[[#This Row],[Lower Score]]&gt;0),5,IF(AND(Table161014182226[[#This Row],[Highest Score]]&gt;0,Table161014182226[[#This Row],[Lower Score]]=0),2,IF(AND(Table161014182226[[#This Row],[Highest Score]]=0,Table161014182226[[#This Row],[Lower Score]]=0,VLOOKUP(Table161014182226[[#This Row],['#]],Table271115192327[['#]:[Scrut]],3,0)="X"),1,0))))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5DFAB338-29B2-4711-952A-4BC025045388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DC4F7-84CC-4D42-810C-6B7F2D5890EC}">
  <dimension ref="A1:AK40"/>
  <sheetViews>
    <sheetView topLeftCell="A5" workbookViewId="0">
      <selection activeCell="C20" sqref="C20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 t="e">
        <f>VLOOKUP(A2,'Round 7'!$AI$3:$AK$18,2,0)</f>
        <v>#N/A</v>
      </c>
      <c r="C2" s="1" t="e">
        <f>VLOOKUP(A2,'Round 7'!$AI$3:$AK$18,3,0)</f>
        <v>#N/A</v>
      </c>
      <c r="D2" s="1">
        <f>AB3</f>
        <v>0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 t="str">
        <f>IF(AND(D2=0,D4=0),"",IF(D2&gt;D4,A2,A4))</f>
        <v/>
      </c>
      <c r="G3" s="1" t="str">
        <f>IF(AND(D2=0,D4=0),"",IF(D2&gt;D4,B2,B4))</f>
        <v/>
      </c>
      <c r="H3" s="1" t="str">
        <f>IF(AND(D2=0,D4=0),"",IF(D2&gt;D4,C2,C4))</f>
        <v/>
      </c>
      <c r="I3" s="1">
        <f>AB27</f>
        <v>0</v>
      </c>
      <c r="J3" s="2"/>
      <c r="Y3" s="1">
        <f>A2</f>
        <v>1</v>
      </c>
      <c r="Z3" s="1" t="e">
        <f>B2</f>
        <v>#N/A</v>
      </c>
      <c r="AA3" s="1" t="e">
        <f>C2</f>
        <v>#N/A</v>
      </c>
      <c r="AB3" s="4"/>
      <c r="AD3" s="1" t="str">
        <f>K5</f>
        <v/>
      </c>
      <c r="AE3" s="1" t="str">
        <f t="shared" ref="AE3:AF3" si="0">L5</f>
        <v/>
      </c>
      <c r="AF3" s="1" t="str">
        <f t="shared" si="0"/>
        <v/>
      </c>
      <c r="AG3" s="4"/>
    </row>
    <row r="4" spans="1:37" x14ac:dyDescent="0.3">
      <c r="A4" s="1">
        <v>16</v>
      </c>
      <c r="B4" s="1" t="e">
        <f>VLOOKUP(A4,'Round 7'!$AI$3:$AK$18,2,0)</f>
        <v>#N/A</v>
      </c>
      <c r="C4" s="1" t="e">
        <f>VLOOKUP(A4,'Round 7'!$AI$3:$AK$18,3,0)</f>
        <v>#N/A</v>
      </c>
      <c r="D4" s="1">
        <f>AB4</f>
        <v>0</v>
      </c>
      <c r="E4" s="2"/>
      <c r="J4" s="2"/>
      <c r="Y4" s="1">
        <f>A4</f>
        <v>16</v>
      </c>
      <c r="Z4" s="1" t="e">
        <f>B4</f>
        <v>#N/A</v>
      </c>
      <c r="AA4" s="1" t="e">
        <f>C4</f>
        <v>#N/A</v>
      </c>
      <c r="AB4" s="4"/>
      <c r="AD4" s="1" t="str">
        <f>K13</f>
        <v/>
      </c>
      <c r="AE4" s="1" t="str">
        <f t="shared" ref="AE4:AF4" si="1">L13</f>
        <v/>
      </c>
      <c r="AF4" s="1" t="str">
        <f t="shared" si="1"/>
        <v/>
      </c>
      <c r="AG4" s="4"/>
    </row>
    <row r="5" spans="1:37" x14ac:dyDescent="0.3">
      <c r="J5" s="2"/>
      <c r="K5" s="1" t="str">
        <f>IF(AND(I3=0,I7=0),"",IF(I3&gt;I7,F3,F7))</f>
        <v/>
      </c>
      <c r="L5" s="1" t="str">
        <f>IF(AND(I3=0,I7=0),"",IF(I3&gt;I7,G3,G7))</f>
        <v/>
      </c>
      <c r="M5" s="1" t="str">
        <f>IF(AND(I3=0,I7=0),"",IF(I3&gt;I7,H3,H7))</f>
        <v/>
      </c>
      <c r="N5" s="1">
        <f>AG3</f>
        <v>0</v>
      </c>
      <c r="O5" s="2"/>
      <c r="AD5" t="s">
        <v>88</v>
      </c>
    </row>
    <row r="6" spans="1:37" x14ac:dyDescent="0.3">
      <c r="A6" s="1">
        <v>8</v>
      </c>
      <c r="B6" s="1" t="e">
        <f>VLOOKUP(A6,'Round 7'!$AI$3:$AK$18,2,0)</f>
        <v>#N/A</v>
      </c>
      <c r="C6" s="1" t="e">
        <f>VLOOKUP(A6,'Round 7'!$AI$3:$AK$18,3,0)</f>
        <v>#N/A</v>
      </c>
      <c r="D6" s="1">
        <f>AB6</f>
        <v>0</v>
      </c>
      <c r="E6" s="2"/>
      <c r="J6" s="2"/>
      <c r="O6" s="2"/>
      <c r="Y6" s="1">
        <f>A6</f>
        <v>8</v>
      </c>
      <c r="Z6" s="1" t="e">
        <f>B6</f>
        <v>#N/A</v>
      </c>
      <c r="AA6" s="1" t="e">
        <f>C6</f>
        <v>#N/A</v>
      </c>
      <c r="AB6" s="4"/>
      <c r="AD6" s="1" t="str">
        <f>K21</f>
        <v/>
      </c>
      <c r="AE6" s="1" t="str">
        <f t="shared" ref="AE6:AF6" si="2">L21</f>
        <v/>
      </c>
      <c r="AF6" s="1" t="str">
        <f t="shared" si="2"/>
        <v/>
      </c>
      <c r="AG6" s="4"/>
      <c r="AI6" t="str">
        <f>IF(F3=K5,F7,F3)</f>
        <v/>
      </c>
      <c r="AJ6" t="e">
        <f>VLOOKUP(AI6,$A$2:$C$32,2,0)</f>
        <v>#N/A</v>
      </c>
      <c r="AK6" t="e">
        <f>VLOOKUP(AI6,$A$2:$C$32,3,0)</f>
        <v>#N/A</v>
      </c>
    </row>
    <row r="7" spans="1:37" x14ac:dyDescent="0.3">
      <c r="A7" s="3"/>
      <c r="E7" s="2"/>
      <c r="F7" s="1" t="str">
        <f>IF(AND(D6=0,D8=0),"",IF(D6&gt;D8,A6,A8))</f>
        <v/>
      </c>
      <c r="G7" s="1" t="str">
        <f>IF(AND(D6=0,D8=0),"",IF(D6&gt;D8,B6,B8))</f>
        <v/>
      </c>
      <c r="H7" s="1" t="str">
        <f>IF(AND(D6=0,D8=0),"",IF(D6&gt;D8,C6,C8))</f>
        <v/>
      </c>
      <c r="I7" s="1">
        <f>AB28</f>
        <v>0</v>
      </c>
      <c r="J7" s="2"/>
      <c r="O7" s="2"/>
      <c r="Y7" s="1">
        <f>A8</f>
        <v>9</v>
      </c>
      <c r="Z7" s="1" t="e">
        <f>B8</f>
        <v>#N/A</v>
      </c>
      <c r="AA7" s="1" t="e">
        <f>C8</f>
        <v>#N/A</v>
      </c>
      <c r="AB7" s="4"/>
      <c r="AD7" s="1" t="str">
        <f>K29</f>
        <v/>
      </c>
      <c r="AE7" s="1" t="str">
        <f t="shared" ref="AE7:AF7" si="3">L29</f>
        <v/>
      </c>
      <c r="AF7" s="1" t="str">
        <f t="shared" si="3"/>
        <v/>
      </c>
      <c r="AG7" s="4"/>
      <c r="AI7" t="str">
        <f>IF(F11=K13,F15,F11)</f>
        <v/>
      </c>
      <c r="AJ7" t="e">
        <f t="shared" ref="AJ7:AJ18" si="4">VLOOKUP(AI7,$A$2:$C$32,2,0)</f>
        <v>#N/A</v>
      </c>
      <c r="AK7" t="e">
        <f t="shared" ref="AK7:AK18" si="5">VLOOKUP(AI7,$A$2:$C$32,3,0)</f>
        <v>#N/A</v>
      </c>
    </row>
    <row r="8" spans="1:37" x14ac:dyDescent="0.3">
      <c r="A8" s="1">
        <v>9</v>
      </c>
      <c r="B8" s="1" t="e">
        <f>VLOOKUP(A8,'Round 7'!$AI$3:$AK$18,2,0)</f>
        <v>#N/A</v>
      </c>
      <c r="C8" s="1" t="e">
        <f>VLOOKUP(A8,'Round 7'!$AI$3:$AK$18,3,0)</f>
        <v>#N/A</v>
      </c>
      <c r="D8" s="1">
        <f>AB7</f>
        <v>0</v>
      </c>
      <c r="E8" s="2"/>
      <c r="O8" s="2"/>
      <c r="AD8" t="s">
        <v>91</v>
      </c>
      <c r="AI8" t="str">
        <f>IF(F19=K21,F23,F19)</f>
        <v/>
      </c>
      <c r="AJ8" t="e">
        <f t="shared" si="4"/>
        <v>#N/A</v>
      </c>
      <c r="AK8" t="e">
        <f t="shared" si="5"/>
        <v>#N/A</v>
      </c>
    </row>
    <row r="9" spans="1:37" x14ac:dyDescent="0.3">
      <c r="O9" s="2"/>
      <c r="P9" s="1" t="str">
        <f>IF(AND(N5=0,N13=0),"",IF(N5&gt;N13,K5,K13))</f>
        <v/>
      </c>
      <c r="Q9" s="1" t="str">
        <f>IF(AND(N5=0,N13=0),"",IF(N5&gt;N13,L5,L13))</f>
        <v/>
      </c>
      <c r="R9" s="1" t="str">
        <f>IF(AND(N5=0,N13=0),"",IF(N5&gt;N13,M5,M13))</f>
        <v/>
      </c>
      <c r="S9" s="1">
        <f>AG12</f>
        <v>0</v>
      </c>
      <c r="T9" s="2"/>
      <c r="Y9" s="1">
        <f>A10</f>
        <v>4</v>
      </c>
      <c r="Z9" s="1" t="e">
        <f t="shared" ref="Z9:AA9" si="6">B10</f>
        <v>#N/A</v>
      </c>
      <c r="AA9" s="1" t="e">
        <f t="shared" si="6"/>
        <v>#N/A</v>
      </c>
      <c r="AB9" s="4"/>
      <c r="AD9" s="1" t="str">
        <f>IF(K5=P9,K13,K5)</f>
        <v/>
      </c>
      <c r="AE9" s="1" t="str">
        <f>IF(AND(N5=0,N13=0),"",IF(L5=Q9,L13,L5))</f>
        <v/>
      </c>
      <c r="AF9" s="1" t="str">
        <f>IF(AND(N5=0,N13=0),"",IF(M5=R9,M13,M5))</f>
        <v/>
      </c>
      <c r="AG9" s="4"/>
      <c r="AI9" t="str">
        <f>IF(F27=K29,F31,F27)</f>
        <v/>
      </c>
      <c r="AJ9" t="e">
        <f t="shared" si="4"/>
        <v>#N/A</v>
      </c>
      <c r="AK9" t="e">
        <f t="shared" si="5"/>
        <v>#N/A</v>
      </c>
    </row>
    <row r="10" spans="1:37" x14ac:dyDescent="0.3">
      <c r="A10" s="1">
        <v>4</v>
      </c>
      <c r="B10" s="1" t="e">
        <f>VLOOKUP(A10,'Round 7'!$AI$3:$AK$18,2,0)</f>
        <v>#N/A</v>
      </c>
      <c r="C10" s="1" t="e">
        <f>VLOOKUP(A10,'Round 7'!$AI$3:$AK$18,3,0)</f>
        <v>#N/A</v>
      </c>
      <c r="D10" s="1">
        <f>AB9</f>
        <v>0</v>
      </c>
      <c r="E10" s="2"/>
      <c r="O10" s="2"/>
      <c r="T10" s="2"/>
      <c r="Y10" s="1">
        <f>A12</f>
        <v>13</v>
      </c>
      <c r="Z10" s="1" t="e">
        <f t="shared" ref="Z10:AA10" si="7">B12</f>
        <v>#N/A</v>
      </c>
      <c r="AA10" s="1" t="e">
        <f t="shared" si="7"/>
        <v>#N/A</v>
      </c>
      <c r="AB10" s="4"/>
      <c r="AD10" s="1" t="str">
        <f>IF(K21=P25,K29,K21)</f>
        <v/>
      </c>
      <c r="AE10" s="1" t="str">
        <f>IF(AND(N21=0,N29=0),"",IF(L21=Q25,L29,L21))</f>
        <v/>
      </c>
      <c r="AF10" s="1" t="str">
        <f>IF(AND(N21=0,N29=0),"",IF(M21=R25,M29,M21))</f>
        <v/>
      </c>
      <c r="AG10" s="4"/>
    </row>
    <row r="11" spans="1:37" x14ac:dyDescent="0.3">
      <c r="A11" s="3"/>
      <c r="E11" s="2"/>
      <c r="F11" s="1" t="str">
        <f>IF(AND(D10=0,D12=0),"",IF(D10&gt;D12,A10,A12))</f>
        <v/>
      </c>
      <c r="G11" s="1" t="str">
        <f>IF(AND(D10=0,D12=0),"",IF(D10&gt;D12,B10,B12))</f>
        <v/>
      </c>
      <c r="H11" s="1" t="str">
        <f>IF(AND(D10=0,D12=0),"",IF(D10&gt;D12,C10,C12))</f>
        <v/>
      </c>
      <c r="I11" s="1">
        <f>AB30</f>
        <v>0</v>
      </c>
      <c r="J11" s="2"/>
      <c r="O11" s="2"/>
      <c r="T11" s="2"/>
      <c r="AD11" t="s">
        <v>89</v>
      </c>
      <c r="AI11">
        <f>IF(A2=F3,A4,A2)</f>
        <v>1</v>
      </c>
      <c r="AJ11" t="e">
        <f t="shared" si="4"/>
        <v>#N/A</v>
      </c>
      <c r="AK11" t="e">
        <f t="shared" si="5"/>
        <v>#N/A</v>
      </c>
    </row>
    <row r="12" spans="1:37" x14ac:dyDescent="0.3">
      <c r="A12" s="1">
        <v>13</v>
      </c>
      <c r="B12" s="1" t="e">
        <f>VLOOKUP(A12,'Round 7'!$AI$3:$AK$18,2,0)</f>
        <v>#N/A</v>
      </c>
      <c r="C12" s="1" t="e">
        <f>VLOOKUP(A12,'Round 7'!$AI$3:$AK$18,3,0)</f>
        <v>#N/A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 t="e">
        <f t="shared" ref="Z12:AA12" si="8">B14</f>
        <v>#N/A</v>
      </c>
      <c r="AA12" s="1" t="e">
        <f t="shared" si="8"/>
        <v>#N/A</v>
      </c>
      <c r="AB12" s="4"/>
      <c r="AD12" s="1" t="str">
        <f>P9</f>
        <v/>
      </c>
      <c r="AE12" s="1" t="str">
        <f>Q9</f>
        <v/>
      </c>
      <c r="AF12" s="1" t="str">
        <f>R9</f>
        <v/>
      </c>
      <c r="AG12" s="4"/>
      <c r="AI12">
        <f>IF(A6=F7,A8,A6)</f>
        <v>8</v>
      </c>
      <c r="AJ12" t="e">
        <f t="shared" si="4"/>
        <v>#N/A</v>
      </c>
      <c r="AK12" t="e">
        <f t="shared" si="5"/>
        <v>#N/A</v>
      </c>
    </row>
    <row r="13" spans="1:37" x14ac:dyDescent="0.3">
      <c r="J13" s="2"/>
      <c r="K13" s="1" t="str">
        <f>IF(AND(I11=0,I15=0),"",IF(I11&gt;I15,F11,F15))</f>
        <v/>
      </c>
      <c r="L13" s="1" t="str">
        <f>IF(AND(I11=0,I15=0),"",IF(I11&gt;I15,G11,G15))</f>
        <v/>
      </c>
      <c r="M13" s="1" t="str">
        <f>IF(AND(I11=0,I15=0),"",IF(I11&gt;I15,H11,H15))</f>
        <v/>
      </c>
      <c r="N13" s="1">
        <f>AG4</f>
        <v>0</v>
      </c>
      <c r="O13" s="2"/>
      <c r="T13" s="2"/>
      <c r="Y13" s="1">
        <f>A16</f>
        <v>12</v>
      </c>
      <c r="Z13" s="1" t="e">
        <f t="shared" ref="Z13:AA13" si="9">B16</f>
        <v>#N/A</v>
      </c>
      <c r="AA13" s="1" t="e">
        <f t="shared" si="9"/>
        <v>#N/A</v>
      </c>
      <c r="AB13" s="4"/>
      <c r="AD13" s="1" t="str">
        <f>P25</f>
        <v/>
      </c>
      <c r="AE13" s="1" t="str">
        <f>Q25</f>
        <v/>
      </c>
      <c r="AF13" s="1" t="str">
        <f>R25</f>
        <v/>
      </c>
      <c r="AG13" s="4"/>
      <c r="AI13">
        <f>IF(A10=F11,A12,A10)</f>
        <v>4</v>
      </c>
      <c r="AJ13" t="e">
        <f t="shared" si="4"/>
        <v>#N/A</v>
      </c>
      <c r="AK13" t="e">
        <f t="shared" si="5"/>
        <v>#N/A</v>
      </c>
    </row>
    <row r="14" spans="1:37" x14ac:dyDescent="0.3">
      <c r="A14" s="1">
        <v>5</v>
      </c>
      <c r="B14" s="1" t="e">
        <f>VLOOKUP(A14,'Round 7'!$AI$3:$AK$18,2,0)</f>
        <v>#N/A</v>
      </c>
      <c r="C14" s="1" t="e">
        <f>VLOOKUP(A14,'Round 7'!$AI$3:$AK$18,3,0)</f>
        <v>#N/A</v>
      </c>
      <c r="D14" s="1">
        <f>AB12</f>
        <v>0</v>
      </c>
      <c r="E14" s="2"/>
      <c r="J14" s="2"/>
      <c r="T14" s="2"/>
      <c r="AI14">
        <f>IF(A14=F15,A16,A14)</f>
        <v>5</v>
      </c>
      <c r="AJ14" t="e">
        <f t="shared" si="4"/>
        <v>#N/A</v>
      </c>
      <c r="AK14" t="e">
        <f t="shared" si="5"/>
        <v>#N/A</v>
      </c>
    </row>
    <row r="15" spans="1:37" x14ac:dyDescent="0.3">
      <c r="A15" s="3"/>
      <c r="E15" s="2"/>
      <c r="F15" s="1" t="str">
        <f>IF(AND(D14=0,D16=0),"",IF(D14&gt;D16,A14,A16))</f>
        <v/>
      </c>
      <c r="G15" s="1" t="str">
        <f>IF(AND(D14=0,D16=0),"",IF(D14&gt;D16,B14,B16))</f>
        <v/>
      </c>
      <c r="H15" s="1" t="str">
        <f>IF(AND(D14=0,D16=0),"",IF(D14&gt;D16,C14,C16))</f>
        <v/>
      </c>
      <c r="I15" s="1">
        <f>AB31</f>
        <v>0</v>
      </c>
      <c r="J15" s="2"/>
      <c r="T15" s="2"/>
      <c r="Y15" s="1">
        <f>A18</f>
        <v>2</v>
      </c>
      <c r="Z15" s="1" t="e">
        <f t="shared" ref="Z15:AA15" si="10">B18</f>
        <v>#N/A</v>
      </c>
      <c r="AA15" s="1" t="e">
        <f t="shared" si="10"/>
        <v>#N/A</v>
      </c>
      <c r="AB15" s="4"/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2</v>
      </c>
      <c r="AJ15" t="e">
        <f t="shared" si="4"/>
        <v>#N/A</v>
      </c>
      <c r="AK15" t="e">
        <f t="shared" si="5"/>
        <v>#N/A</v>
      </c>
    </row>
    <row r="16" spans="1:37" x14ac:dyDescent="0.3">
      <c r="A16" s="1">
        <v>12</v>
      </c>
      <c r="B16" s="1" t="e">
        <f>VLOOKUP(A16,'Round 7'!$AI$3:$AK$18,2,0)</f>
        <v>#N/A</v>
      </c>
      <c r="C16" s="1" t="e">
        <f>VLOOKUP(A16,'Round 7'!$AI$3:$AK$18,3,0)</f>
        <v>#N/A</v>
      </c>
      <c r="D16" s="1">
        <f>AB13</f>
        <v>0</v>
      </c>
      <c r="E16" s="2"/>
      <c r="T16" s="2"/>
      <c r="Y16" s="1">
        <f>A20</f>
        <v>15</v>
      </c>
      <c r="Z16" s="1" t="e">
        <f t="shared" ref="Z16:AA16" si="11">B20</f>
        <v>#N/A</v>
      </c>
      <c r="AA16" s="1" t="e">
        <f t="shared" si="11"/>
        <v>#N/A</v>
      </c>
      <c r="AB16" s="4"/>
      <c r="AD16">
        <v>1</v>
      </c>
      <c r="AE16" t="str">
        <f>V17</f>
        <v/>
      </c>
      <c r="AF16" t="str">
        <f>W17</f>
        <v/>
      </c>
      <c r="AG16">
        <v>50</v>
      </c>
      <c r="AI16">
        <f>IF(A22=F23,A24,A22)</f>
        <v>7</v>
      </c>
      <c r="AJ16" t="e">
        <f t="shared" si="4"/>
        <v>#N/A</v>
      </c>
      <c r="AK16" t="e">
        <f t="shared" si="5"/>
        <v>#N/A</v>
      </c>
    </row>
    <row r="17" spans="1:37" x14ac:dyDescent="0.3">
      <c r="T17" s="2"/>
      <c r="U17" s="5" t="str">
        <f>IF(AND(S9=0,S25=0),"",IF(S9&gt;S25,P9,P25))</f>
        <v/>
      </c>
      <c r="V17" s="5" t="str">
        <f>IF(AND(S9=0,S25=0),"",IF(S9&gt;S25,Q9,Q25))</f>
        <v/>
      </c>
      <c r="W17" s="5" t="str">
        <f>IF(AND(S9=0,S25=0),"",IF(S9&gt;S25,R9,R25))</f>
        <v/>
      </c>
      <c r="AD17">
        <v>2</v>
      </c>
      <c r="AE17" t="str">
        <f>IF(V17="","",IF(Q9=V17,Q25,Q9))</f>
        <v/>
      </c>
      <c r="AF17" t="str">
        <f>IF(W17="","",IF(R9=W17,R25,R9))</f>
        <v/>
      </c>
      <c r="AG17">
        <v>40</v>
      </c>
      <c r="AI17">
        <f>IF(A26=F27,A28,A26)</f>
        <v>3</v>
      </c>
      <c r="AJ17" t="e">
        <f t="shared" si="4"/>
        <v>#N/A</v>
      </c>
      <c r="AK17" t="e">
        <f t="shared" si="5"/>
        <v>#N/A</v>
      </c>
    </row>
    <row r="18" spans="1:37" x14ac:dyDescent="0.3">
      <c r="A18" s="1">
        <v>2</v>
      </c>
      <c r="B18" s="1" t="e">
        <f>VLOOKUP(A18,'Round 7'!$AI$3:$AK$18,2,0)</f>
        <v>#N/A</v>
      </c>
      <c r="C18" s="1" t="e">
        <f>VLOOKUP(A18,'Round 7'!$AI$3:$AK$18,3,0)</f>
        <v>#N/A</v>
      </c>
      <c r="D18" s="1">
        <f>AB15</f>
        <v>0</v>
      </c>
      <c r="E18" s="2"/>
      <c r="T18" s="2"/>
      <c r="Y18" s="1">
        <f>A22</f>
        <v>7</v>
      </c>
      <c r="Z18" s="1" t="e">
        <f t="shared" ref="Z18:AA18" si="12">B22</f>
        <v>#N/A</v>
      </c>
      <c r="AA18" s="1" t="e">
        <f t="shared" si="12"/>
        <v>#N/A</v>
      </c>
      <c r="AB18" s="4"/>
      <c r="AD18">
        <v>3</v>
      </c>
      <c r="AE18" t="str">
        <f>IF(AG9&gt;AG10,AE9,IF(AG10&gt;AG9,AE10,IF(AD9&lt;AD10,AE9,AE10)))</f>
        <v/>
      </c>
      <c r="AF18" t="str">
        <f>IF(AG9&gt;AG10,AF9,IF(AG10&gt;AG9,AF10,IF(AD9&lt;AD10,AF9,AF10)))</f>
        <v/>
      </c>
      <c r="AG18">
        <v>30</v>
      </c>
      <c r="AI18">
        <f>IF(A30=F31,A32,A30)</f>
        <v>6</v>
      </c>
      <c r="AJ18" t="e">
        <f t="shared" si="4"/>
        <v>#N/A</v>
      </c>
      <c r="AK18" t="e">
        <f t="shared" si="5"/>
        <v>#N/A</v>
      </c>
    </row>
    <row r="19" spans="1:37" x14ac:dyDescent="0.3">
      <c r="A19" s="3"/>
      <c r="E19" s="2"/>
      <c r="F19" s="1" t="str">
        <f>IF(AND(D18=0,D20=0),"",IF(D18&gt;D20,A18,A20))</f>
        <v/>
      </c>
      <c r="G19" s="1" t="str">
        <f>IF(AND(D18=0,D20=0),"",IF(D18&gt;D20,B18,B20))</f>
        <v/>
      </c>
      <c r="H19" s="1" t="str">
        <f>IF(AND(D18=0,D20=0),"",IF(D18&gt;D20,C18,C20))</f>
        <v/>
      </c>
      <c r="I19" s="1">
        <f>AB33</f>
        <v>0</v>
      </c>
      <c r="J19" s="2"/>
      <c r="T19" s="2"/>
      <c r="Y19" s="1">
        <f>A24</f>
        <v>10</v>
      </c>
      <c r="Z19" s="1" t="e">
        <f t="shared" ref="Z19:AA19" si="13">B24</f>
        <v>#N/A</v>
      </c>
      <c r="AA19" s="1" t="e">
        <f t="shared" si="13"/>
        <v>#N/A</v>
      </c>
      <c r="AB19" s="4"/>
      <c r="AD19">
        <v>4</v>
      </c>
      <c r="AE19" t="str">
        <f>IF(AG9&gt;AG10,AE10,IF(AG10&gt;AG9,AE9,IF(AD9&lt;AD10,AE10,AE9)))</f>
        <v/>
      </c>
      <c r="AF19" t="str">
        <f>IF(AG9&gt;AG10,AF10,IF(AG10&gt;AG9,AF9,IF(AD9&lt;AD10,AF10,AF9)))</f>
        <v/>
      </c>
      <c r="AG19">
        <v>25</v>
      </c>
    </row>
    <row r="20" spans="1:37" x14ac:dyDescent="0.3">
      <c r="A20" s="1">
        <v>15</v>
      </c>
      <c r="B20" s="1" t="e">
        <f>VLOOKUP(A20,'Round 7'!$AI$3:$AK$18,2,0)</f>
        <v>#N/A</v>
      </c>
      <c r="C20" s="1" t="e">
        <f>VLOOKUP(A20,'Round 7'!$AI$3:$AK$18,3,0)</f>
        <v>#N/A</v>
      </c>
      <c r="D20" s="1">
        <f>AB16</f>
        <v>0</v>
      </c>
      <c r="E20" s="2"/>
      <c r="J20" s="2"/>
      <c r="T20" s="2"/>
      <c r="AD20">
        <v>5</v>
      </c>
      <c r="AE20" t="str">
        <f>IF(OR($L$5="",$L$13="",$L$21="",$L$29=""),"",VLOOKUP(SMALL($AI$6:$AI$9,1),$AI$6:$AK$9,2,0))</f>
        <v/>
      </c>
      <c r="AF20" t="str">
        <f>IF(OR($L$5="",$L$13="",$L$21="",$L$29=""),"",VLOOKUP(SMALL($AI$6:$AI$9,1),$AI$6:$AK$9,3,0))</f>
        <v/>
      </c>
      <c r="AG20">
        <v>20</v>
      </c>
    </row>
    <row r="21" spans="1:37" x14ac:dyDescent="0.3">
      <c r="J21" s="2"/>
      <c r="K21" s="1" t="str">
        <f>IF(AND(I19=0,I23=0),"",IF(I19&gt;I23,F19,F23))</f>
        <v/>
      </c>
      <c r="L21" s="1" t="str">
        <f>IF(AND(I19=0,I23=0),"",IF(I19&gt;I23,G19,G23))</f>
        <v/>
      </c>
      <c r="M21" s="1" t="str">
        <f>IF(AND(I19=0,I23=0),"",IF(I19&gt;I23,H19,H23))</f>
        <v/>
      </c>
      <c r="N21" s="1">
        <f>AG6</f>
        <v>0</v>
      </c>
      <c r="O21" s="2"/>
      <c r="T21" s="2"/>
      <c r="Y21" s="1">
        <f>A26</f>
        <v>3</v>
      </c>
      <c r="Z21" s="1" t="e">
        <f t="shared" ref="Z21:AA21" si="14">B26</f>
        <v>#N/A</v>
      </c>
      <c r="AA21" s="1" t="e">
        <f t="shared" si="14"/>
        <v>#N/A</v>
      </c>
      <c r="AB21" s="4"/>
      <c r="AD21">
        <v>6</v>
      </c>
      <c r="AE21" t="str">
        <f>IF(OR($L$5="",$L$13="",$L$21="",$L$29=""),"",VLOOKUP(SMALL($AI$6:$AI$9,2),$AI$6:$AK$9,2,0))</f>
        <v/>
      </c>
      <c r="AF21" t="str">
        <f>IF(OR($L$5="",$L$13="",$L$21="",$L$29=""),"",VLOOKUP(SMALL($AI$6:$AI$9,2),$AI$6:$AK$9,3,0))</f>
        <v/>
      </c>
      <c r="AG21">
        <v>20</v>
      </c>
    </row>
    <row r="22" spans="1:37" x14ac:dyDescent="0.3">
      <c r="A22" s="1">
        <v>7</v>
      </c>
      <c r="B22" s="1" t="e">
        <f>VLOOKUP(A22,'Round 7'!$AI$3:$AK$18,2,0)</f>
        <v>#N/A</v>
      </c>
      <c r="C22" s="1" t="e">
        <f>VLOOKUP(A22,'Round 7'!$AI$3:$AK$18,3,0)</f>
        <v>#N/A</v>
      </c>
      <c r="D22" s="1">
        <f>AB18</f>
        <v>0</v>
      </c>
      <c r="E22" s="2"/>
      <c r="J22" s="2"/>
      <c r="O22" s="2"/>
      <c r="T22" s="2"/>
      <c r="Y22" s="1">
        <f>A28</f>
        <v>14</v>
      </c>
      <c r="Z22" s="1" t="e">
        <f t="shared" ref="Z22:AA22" si="15">B28</f>
        <v>#N/A</v>
      </c>
      <c r="AA22" s="1" t="e">
        <f t="shared" si="15"/>
        <v>#N/A</v>
      </c>
      <c r="AB22" s="4"/>
      <c r="AD22">
        <v>7</v>
      </c>
      <c r="AE22" t="str">
        <f>IF(OR($L$5="",$L$13="",$L$21="",$L$29=""),"",VLOOKUP(SMALL($AI$6:$AI$9,3),$AI$6:$AK$9,2,0))</f>
        <v/>
      </c>
      <c r="AF22" t="str">
        <f>IF(OR($L$5="",$L$13="",$L$21="",$L$29=""),"",VLOOKUP(SMALL($AI$6:$AI$9,3),$AI$6:$AK$9,3,0))</f>
        <v/>
      </c>
      <c r="AG22">
        <v>20</v>
      </c>
    </row>
    <row r="23" spans="1:37" x14ac:dyDescent="0.3">
      <c r="A23" s="3"/>
      <c r="E23" s="2"/>
      <c r="F23" s="1" t="str">
        <f>IF(AND(D22=0,D24=0),"",IF(D22&gt;D24,A22,A24))</f>
        <v/>
      </c>
      <c r="G23" s="1" t="str">
        <f>IF(AND(D22=0,D24=0),"",IF(D22&gt;D24,B22,B24))</f>
        <v/>
      </c>
      <c r="H23" s="1" t="str">
        <f>IF(AND(D22=0,D24=0),"",IF(D22&gt;D24,C22,C24))</f>
        <v/>
      </c>
      <c r="I23" s="1">
        <f>AB34</f>
        <v>0</v>
      </c>
      <c r="J23" s="2"/>
      <c r="O23" s="2"/>
      <c r="T23" s="2"/>
      <c r="AD23">
        <v>8</v>
      </c>
      <c r="AE23" t="str">
        <f>IF(OR($L$5="",$L$13="",$L$21="",$L$29=""),"",VLOOKUP(SMALL($AI$6:$AI$9,4),$AI$6:$AK$9,2,0))</f>
        <v/>
      </c>
      <c r="AF23" t="str">
        <f>IF(OR($L$5="",$L$13="",$L$21="",$L$29=""),"",VLOOKUP(SMALL($AI$6:$AI$9,4),$AI$6:$AK$9,3,0))</f>
        <v/>
      </c>
      <c r="AG23">
        <v>20</v>
      </c>
    </row>
    <row r="24" spans="1:37" x14ac:dyDescent="0.3">
      <c r="A24" s="1">
        <v>10</v>
      </c>
      <c r="B24" s="1" t="e">
        <f>VLOOKUP(A24,'Round 7'!$AI$3:$AK$18,2,0)</f>
        <v>#N/A</v>
      </c>
      <c r="C24" s="1" t="e">
        <f>VLOOKUP(A24,'Round 7'!$AI$3:$AK$18,3,0)</f>
        <v>#N/A</v>
      </c>
      <c r="D24" s="1">
        <f>AB19</f>
        <v>0</v>
      </c>
      <c r="E24" s="2"/>
      <c r="O24" s="2"/>
      <c r="T24" s="2"/>
      <c r="Y24" s="1">
        <f>A30</f>
        <v>6</v>
      </c>
      <c r="Z24" s="1" t="e">
        <f t="shared" ref="Z24:AA24" si="16">B30</f>
        <v>#N/A</v>
      </c>
      <c r="AA24" s="1" t="e">
        <f t="shared" si="16"/>
        <v>#N/A</v>
      </c>
      <c r="AB24" s="4"/>
      <c r="AD24">
        <v>9</v>
      </c>
      <c r="AE24" t="str">
        <f>IF(OR($G$3="",$G$7="",$G$11="",$G$15="",$G$19="",$G$23="",$G$27="",$G$31=""),"",VLOOKUP(SMALL($AI$11:$AI$18,1),$AI$11:$AK$18,2,0))</f>
        <v/>
      </c>
      <c r="AF24" t="str">
        <f>IF(OR($G$3="",$G$7="",$G$11="",$G$15="",$G$19="",$G$23="",$G$27="",$G$31=""),"",VLOOKUP(SMALL($AI$11:$AI$18,1),$AI$11:$AK$18,3,0))</f>
        <v/>
      </c>
      <c r="AG24">
        <v>10</v>
      </c>
    </row>
    <row r="25" spans="1:37" x14ac:dyDescent="0.3">
      <c r="O25" s="2"/>
      <c r="P25" s="1" t="str">
        <f>IF(AND(N21=0,N29=0),"",IF(N21&gt;N29,K21,K29))</f>
        <v/>
      </c>
      <c r="Q25" s="1" t="str">
        <f>IF(AND(N21=0,N29=0),"",IF(N21&gt;N29,L21,L29))</f>
        <v/>
      </c>
      <c r="R25" s="1" t="str">
        <f>IF(AND(N21=0,N29=0),"",IF(N21&gt;N29,M21,M29))</f>
        <v/>
      </c>
      <c r="S25" s="1">
        <f>AG13</f>
        <v>0</v>
      </c>
      <c r="T25" s="2"/>
      <c r="Y25" s="1">
        <f>A32</f>
        <v>11</v>
      </c>
      <c r="Z25" s="1" t="e">
        <f t="shared" ref="Z25:AA25" si="17">B32</f>
        <v>#N/A</v>
      </c>
      <c r="AA25" s="1" t="e">
        <f t="shared" si="17"/>
        <v>#N/A</v>
      </c>
      <c r="AB25" s="4"/>
      <c r="AD25">
        <v>10</v>
      </c>
      <c r="AE25" t="str">
        <f>IF(OR($G$3="",$G$7="",$G$11="",$G$15="",$G$19="",$G$23="",$G$27="",$G$31=""),"",VLOOKUP(SMALL($AI$11:$AI$18,2),$AI$11:$AK$18,2,0))</f>
        <v/>
      </c>
      <c r="AF25" t="str">
        <f>IF(OR($G$3="",$G$7="",$G$11="",$G$15="",$G$19="",$G$23="",$G$27="",$G$31=""),"",VLOOKUP(SMALL($AI$11:$AI$18,2),$AI$11:$AK$18,3,0))</f>
        <v/>
      </c>
      <c r="AG25">
        <v>10</v>
      </c>
    </row>
    <row r="26" spans="1:37" x14ac:dyDescent="0.3">
      <c r="A26" s="1">
        <v>3</v>
      </c>
      <c r="B26" s="1" t="e">
        <f>VLOOKUP(A26,'Round 7'!$AI$3:$AK$18,2,0)</f>
        <v>#N/A</v>
      </c>
      <c r="C26" s="1" t="e">
        <f>VLOOKUP(A26,'Round 7'!$AI$3:$AK$18,3,0)</f>
        <v>#N/A</v>
      </c>
      <c r="D26" s="1">
        <f>AB21</f>
        <v>0</v>
      </c>
      <c r="E26" s="2"/>
      <c r="O26" s="2"/>
      <c r="Y26" s="2"/>
      <c r="Z26" s="2"/>
      <c r="AA26" s="2"/>
      <c r="AB26" s="2"/>
      <c r="AD26">
        <v>11</v>
      </c>
      <c r="AE26" t="str">
        <f>IF(OR($G$3="",$G$7="",$G$11="",$G$15="",$G$19="",$G$23="",$G$27="",$G$31=""),"",VLOOKUP(SMALL($AI$11:$AI$18,3),$AI$11:$AK$18,2,0))</f>
        <v/>
      </c>
      <c r="AF26" t="str">
        <f>IF(OR($G$3="",$G$7="",$G$11="",$G$15="",$G$19="",$G$23="",$G$27="",$G$31=""),"",VLOOKUP(SMALL($AI$11:$AI$18,3),$AI$11:$AK$18,3,0))</f>
        <v/>
      </c>
      <c r="AG26">
        <v>10</v>
      </c>
    </row>
    <row r="27" spans="1:37" x14ac:dyDescent="0.3">
      <c r="A27" s="3"/>
      <c r="E27" s="2"/>
      <c r="F27" s="1" t="str">
        <f>IF(AND(D26=0,D28=0),"",IF(D26&gt;D28,A26,A28))</f>
        <v/>
      </c>
      <c r="G27" s="1" t="str">
        <f>IF(AND(D26=0,D28=0),"",IF(D26&gt;D28,B26,B28))</f>
        <v/>
      </c>
      <c r="H27" s="1" t="str">
        <f>IF(AND(D26=0,D28=0),"",IF(D26&gt;D28,C26,C28))</f>
        <v/>
      </c>
      <c r="I27" s="1">
        <f>AB36</f>
        <v>0</v>
      </c>
      <c r="J27" s="2"/>
      <c r="O27" s="2"/>
      <c r="Y27" s="1" t="str">
        <f>F3</f>
        <v/>
      </c>
      <c r="Z27" s="1" t="str">
        <f t="shared" ref="Z27:AA27" si="18">G3</f>
        <v/>
      </c>
      <c r="AA27" s="1" t="str">
        <f t="shared" si="18"/>
        <v/>
      </c>
      <c r="AB27" s="4"/>
      <c r="AD27">
        <v>12</v>
      </c>
      <c r="AE27" t="str">
        <f>IF(OR($G$3="",$G$7="",$G$11="",$G$15="",$G$19="",$G$23="",$G$27="",$G$31=""),"",VLOOKUP(SMALL($AI$11:$AI$18,4),$AI$11:$AK$18,2,0))</f>
        <v/>
      </c>
      <c r="AF27" t="str">
        <f>IF(OR($G$3="",$G$7="",$G$11="",$G$15="",$G$19="",$G$23="",$G$27="",$G$31=""),"",VLOOKUP(SMALL($AI$11:$AI$18,4),$AI$11:$AK$18,3,0))</f>
        <v/>
      </c>
      <c r="AG27">
        <v>10</v>
      </c>
    </row>
    <row r="28" spans="1:37" x14ac:dyDescent="0.3">
      <c r="A28" s="1">
        <v>14</v>
      </c>
      <c r="B28" s="1" t="e">
        <f>VLOOKUP(A28,'Round 7'!$AI$3:$AK$18,2,0)</f>
        <v>#N/A</v>
      </c>
      <c r="C28" s="1" t="e">
        <f>VLOOKUP(A28,'Round 7'!$AI$3:$AK$18,3,0)</f>
        <v>#N/A</v>
      </c>
      <c r="D28" s="1">
        <f>AB22</f>
        <v>0</v>
      </c>
      <c r="E28" s="2"/>
      <c r="J28" s="2"/>
      <c r="O28" s="2"/>
      <c r="Y28" s="1" t="str">
        <f>F7</f>
        <v/>
      </c>
      <c r="Z28" s="1" t="str">
        <f t="shared" ref="Z28:AA28" si="19">G7</f>
        <v/>
      </c>
      <c r="AA28" s="1" t="str">
        <f t="shared" si="19"/>
        <v/>
      </c>
      <c r="AB28" s="4"/>
      <c r="AD28">
        <v>13</v>
      </c>
      <c r="AE28" t="str">
        <f>IF(OR($G$3="",$G$7="",$G$11="",$G$15="",$G$19="",$G$23="",$G$27="",$G$31=""),"",VLOOKUP(SMALL($AI$11:$AI$18,5),$AI$11:$AK$18,2,0))</f>
        <v/>
      </c>
      <c r="AF28" t="str">
        <f>IF(OR($G$3="",$G$7="",$G$11="",$G$15="",$G$19="",$G$23="",$G$27="",$G$31=""),"",VLOOKUP(SMALL($AI$11:$AI$18,5),$AI$11:$AK$18,3,0))</f>
        <v/>
      </c>
      <c r="AG28">
        <v>10</v>
      </c>
    </row>
    <row r="29" spans="1:37" x14ac:dyDescent="0.3">
      <c r="J29" s="2"/>
      <c r="K29" s="1" t="str">
        <f>IF(AND(I27=0,I31=0),"",IF(I27&gt;I31,F27,F31))</f>
        <v/>
      </c>
      <c r="L29" s="1" t="str">
        <f>IF(AND(I27=0,I31=0),"",IF(I27&gt;I31,G27,G31))</f>
        <v/>
      </c>
      <c r="M29" s="1" t="str">
        <f>IF(AND(I27=0,I31=0),"",IF(I27&gt;I31,H27,H31))</f>
        <v/>
      </c>
      <c r="N29" s="1">
        <f>AG7</f>
        <v>0</v>
      </c>
      <c r="O29" s="2"/>
      <c r="AD29">
        <v>14</v>
      </c>
      <c r="AE29" t="str">
        <f>IF(OR($G$3="",$G$7="",$G$11="",$G$15="",$G$19="",$G$23="",$G$27="",$G$31=""),"",VLOOKUP(SMALL($AI$11:$AI$18,6),$AI$11:$AK$18,2,0))</f>
        <v/>
      </c>
      <c r="AF29" t="str">
        <f>IF(OR($G$3="",$G$7="",$G$11="",$G$15="",$G$19="",$G$23="",$G$27="",$G$31=""),"",VLOOKUP(SMALL($AI$11:$AI$18,6),$AI$11:$AK$18,3,0))</f>
        <v/>
      </c>
      <c r="AG29">
        <v>10</v>
      </c>
    </row>
    <row r="30" spans="1:37" x14ac:dyDescent="0.3">
      <c r="A30" s="1">
        <v>6</v>
      </c>
      <c r="B30" s="1" t="e">
        <f>VLOOKUP(A30,'Round 7'!$AI$3:$AK$18,2,0)</f>
        <v>#N/A</v>
      </c>
      <c r="C30" s="1" t="e">
        <f>VLOOKUP(A30,'Round 7'!$AI$3:$AK$18,3,0)</f>
        <v>#N/A</v>
      </c>
      <c r="D30" s="1">
        <f>AB24</f>
        <v>0</v>
      </c>
      <c r="E30" s="2"/>
      <c r="J30" s="2"/>
      <c r="Y30" s="1" t="str">
        <f>F11</f>
        <v/>
      </c>
      <c r="Z30" s="1" t="str">
        <f t="shared" ref="Z30:AA30" si="20">G11</f>
        <v/>
      </c>
      <c r="AA30" s="1" t="str">
        <f t="shared" si="20"/>
        <v/>
      </c>
      <c r="AB30" s="4"/>
      <c r="AD30">
        <v>15</v>
      </c>
      <c r="AE30" t="str">
        <f>IF(OR($G$3="",$G$7="",$G$11="",$G$15="",$G$19="",$G$23="",$G$27="",$G$31=""),"",VLOOKUP(SMALL($AI$11:$AI$18,7),$AI$11:$AK$18,2,0))</f>
        <v/>
      </c>
      <c r="AF30" t="str">
        <f>IF(OR($G$3="",$G$7="",$G$11="",$G$15="",$G$19="",$G$23="",$G$27="",$G$31=""),"",VLOOKUP(SMALL($AI$11:$AI$18,7),$AI$11:$AK$18,3,0))</f>
        <v/>
      </c>
      <c r="AG30">
        <v>10</v>
      </c>
    </row>
    <row r="31" spans="1:37" x14ac:dyDescent="0.3">
      <c r="A31" s="3"/>
      <c r="E31" s="2"/>
      <c r="F31" s="1" t="str">
        <f>IF(AND(D30=0,D32=0),"",IF(D30&gt;D32,A30,A32))</f>
        <v/>
      </c>
      <c r="G31" s="1" t="str">
        <f>IF(AND(D30=0,D32=0),"",IF(D30&gt;D32,B30,B32))</f>
        <v/>
      </c>
      <c r="H31" s="1" t="str">
        <f>IF(AND(D30=0,D32=0),"",IF(D30&gt;D32,C30,C32))</f>
        <v/>
      </c>
      <c r="I31" s="1">
        <f>AB37</f>
        <v>0</v>
      </c>
      <c r="J31" s="2"/>
      <c r="P31" s="1" t="str">
        <f>AD9</f>
        <v/>
      </c>
      <c r="Q31" s="1" t="str">
        <f>AE9</f>
        <v/>
      </c>
      <c r="R31" s="1" t="str">
        <f>AF9</f>
        <v/>
      </c>
      <c r="S31" s="1">
        <f>AG9</f>
        <v>0</v>
      </c>
      <c r="T31" s="2"/>
      <c r="Y31" s="1" t="str">
        <f>F15</f>
        <v/>
      </c>
      <c r="Z31" s="1" t="str">
        <f t="shared" ref="Z31:AA31" si="21">G15</f>
        <v/>
      </c>
      <c r="AA31" s="1" t="str">
        <f t="shared" si="21"/>
        <v/>
      </c>
      <c r="AB31" s="4"/>
      <c r="AD31">
        <v>16</v>
      </c>
      <c r="AE31" t="str">
        <f>IF(OR($G$3="",$G$7="",$G$11="",$G$15="",$G$19="",$G$23="",$G$27="",$G$31=""),"",VLOOKUP(SMALL($AI$11:$AI$18,8),$AI$11:$AK$18,2,0))</f>
        <v/>
      </c>
      <c r="AF31" t="str">
        <f>IF(OR($G$3="",$G$7="",$G$11="",$G$15="",$G$19="",$G$23="",$G$27="",$G$31=""),"",VLOOKUP(SMALL($AI$11:$AI$18,8),$AI$11:$AK$18,3,0))</f>
        <v/>
      </c>
      <c r="AG31">
        <v>10</v>
      </c>
    </row>
    <row r="32" spans="1:37" x14ac:dyDescent="0.3">
      <c r="A32" s="1">
        <v>11</v>
      </c>
      <c r="B32" s="1" t="e">
        <f>VLOOKUP(A32,'Round 7'!$AI$3:$AK$18,2,0)</f>
        <v>#N/A</v>
      </c>
      <c r="C32" s="1" t="e">
        <f>VLOOKUP(A32,'Round 7'!$AI$3:$AK$18,3,0)</f>
        <v>#N/A</v>
      </c>
      <c r="D32" s="1">
        <f>AB25</f>
        <v>0</v>
      </c>
      <c r="E32" s="2"/>
      <c r="T32" s="2"/>
      <c r="U32" s="1"/>
      <c r="V32" s="1" t="str">
        <f>AE18</f>
        <v/>
      </c>
      <c r="W32" s="1" t="str">
        <f>AF18</f>
        <v/>
      </c>
      <c r="AD32">
        <v>17</v>
      </c>
      <c r="AE32" t="e">
        <f>VLOOKUP(Table591317212529[[#This Row],[Final]],'Round 7'!$X$19:$AG$27,3,0)</f>
        <v>#N/A</v>
      </c>
      <c r="AF32" t="e">
        <f>VLOOKUP(Table591317212529[[#This Row],[Final]],'Round 7'!$X$19:$AG$27,4,0)</f>
        <v>#N/A</v>
      </c>
      <c r="AG32" t="e">
        <f>VLOOKUP(Table591317212529[[#This Row],[Final]],'Round 7'!$X$19:$AG$27,10,0)</f>
        <v>#N/A</v>
      </c>
    </row>
    <row r="33" spans="16:33" x14ac:dyDescent="0.3">
      <c r="P33" s="1" t="str">
        <f>AD10</f>
        <v/>
      </c>
      <c r="Q33" s="1" t="str">
        <f>AE10</f>
        <v/>
      </c>
      <c r="R33" s="1" t="str">
        <f>AF10</f>
        <v/>
      </c>
      <c r="S33" s="1">
        <f>AG10</f>
        <v>0</v>
      </c>
      <c r="T33" s="2"/>
      <c r="Y33" s="1" t="str">
        <f>F19</f>
        <v/>
      </c>
      <c r="Z33" s="1" t="str">
        <f>G19</f>
        <v/>
      </c>
      <c r="AA33" s="1" t="str">
        <f>H19</f>
        <v/>
      </c>
      <c r="AB33" s="4"/>
      <c r="AD33">
        <v>18</v>
      </c>
      <c r="AE33" t="e">
        <f>VLOOKUP(Table591317212529[[#This Row],[Final]],'Round 7'!$X$19:$AG$27,3,0)</f>
        <v>#N/A</v>
      </c>
      <c r="AF33" t="e">
        <f>VLOOKUP(Table591317212529[[#This Row],[Final]],'Round 7'!$X$19:$AG$27,4,0)</f>
        <v>#N/A</v>
      </c>
      <c r="AG33" t="e">
        <f>VLOOKUP(Table591317212529[[#This Row],[Final]],'Round 7'!$X$19:$AG$27,10,0)</f>
        <v>#N/A</v>
      </c>
    </row>
    <row r="34" spans="16:33" x14ac:dyDescent="0.3">
      <c r="Y34" s="1" t="str">
        <f>F23</f>
        <v/>
      </c>
      <c r="Z34" s="1" t="str">
        <f>G23</f>
        <v/>
      </c>
      <c r="AA34" s="1" t="str">
        <f>H23</f>
        <v/>
      </c>
      <c r="AB34" s="4"/>
      <c r="AD34">
        <v>19</v>
      </c>
      <c r="AE34" t="e">
        <f>VLOOKUP(Table591317212529[[#This Row],[Final]],'Round 7'!$X$19:$AG$27,3,0)</f>
        <v>#N/A</v>
      </c>
      <c r="AF34" t="e">
        <f>VLOOKUP(Table591317212529[[#This Row],[Final]],'Round 7'!$X$19:$AG$27,4,0)</f>
        <v>#N/A</v>
      </c>
      <c r="AG34" t="e">
        <f>VLOOKUP(Table591317212529[[#This Row],[Final]],'Round 7'!$X$19:$AG$27,10,0)</f>
        <v>#N/A</v>
      </c>
    </row>
    <row r="35" spans="16:33" x14ac:dyDescent="0.3">
      <c r="AD35">
        <v>20</v>
      </c>
      <c r="AE35" t="e">
        <f>VLOOKUP(Table591317212529[[#This Row],[Final]],'Round 7'!$X$19:$AG$27,3,0)</f>
        <v>#N/A</v>
      </c>
      <c r="AF35" t="e">
        <f>VLOOKUP(Table591317212529[[#This Row],[Final]],'Round 7'!$X$19:$AG$27,4,0)</f>
        <v>#N/A</v>
      </c>
      <c r="AG35" t="e">
        <f>VLOOKUP(Table591317212529[[#This Row],[Final]],'Round 7'!$X$19:$AG$27,10,0)</f>
        <v>#N/A</v>
      </c>
    </row>
    <row r="36" spans="16:33" x14ac:dyDescent="0.3">
      <c r="Y36" s="1" t="str">
        <f>F27</f>
        <v/>
      </c>
      <c r="Z36" s="1" t="str">
        <f>G27</f>
        <v/>
      </c>
      <c r="AA36" s="1" t="str">
        <f>H27</f>
        <v/>
      </c>
      <c r="AB36" s="4"/>
      <c r="AD36">
        <v>21</v>
      </c>
      <c r="AE36" t="e">
        <f>VLOOKUP(Table591317212529[[#This Row],[Final]],'Round 7'!$X$19:$AG$27,3,0)</f>
        <v>#N/A</v>
      </c>
      <c r="AF36" t="e">
        <f>VLOOKUP(Table591317212529[[#This Row],[Final]],'Round 7'!$X$19:$AG$27,4,0)</f>
        <v>#N/A</v>
      </c>
      <c r="AG36" t="e">
        <f>VLOOKUP(Table591317212529[[#This Row],[Final]],'Round 7'!$X$19:$AG$27,10,0)</f>
        <v>#N/A</v>
      </c>
    </row>
    <row r="37" spans="16:33" x14ac:dyDescent="0.3">
      <c r="Y37" s="1" t="str">
        <f>F31</f>
        <v/>
      </c>
      <c r="Z37" s="1" t="str">
        <f>G31</f>
        <v/>
      </c>
      <c r="AA37" s="1" t="str">
        <f>H31</f>
        <v/>
      </c>
      <c r="AB37" s="4"/>
      <c r="AD37">
        <v>22</v>
      </c>
      <c r="AE37" t="e">
        <f>VLOOKUP(Table591317212529[[#This Row],[Final]],'Round 7'!$X$19:$AG$27,3,0)</f>
        <v>#N/A</v>
      </c>
      <c r="AF37" t="e">
        <f>VLOOKUP(Table591317212529[[#This Row],[Final]],'Round 7'!$X$19:$AG$27,4,0)</f>
        <v>#N/A</v>
      </c>
      <c r="AG37" t="e">
        <f>VLOOKUP(Table591317212529[[#This Row],[Final]],'Round 7'!$X$19:$AG$27,10,0)</f>
        <v>#N/A</v>
      </c>
    </row>
    <row r="38" spans="16:33" x14ac:dyDescent="0.3">
      <c r="AD38">
        <v>23</v>
      </c>
      <c r="AE38" t="e">
        <f>VLOOKUP(Table591317212529[[#This Row],[Final]],'Round 7'!$X$19:$AG$27,3,0)</f>
        <v>#N/A</v>
      </c>
      <c r="AF38" t="e">
        <f>VLOOKUP(Table591317212529[[#This Row],[Final]],'Round 7'!$X$19:$AG$27,4,0)</f>
        <v>#N/A</v>
      </c>
      <c r="AG38" t="e">
        <f>VLOOKUP(Table591317212529[[#This Row],[Final]],'Round 7'!$X$19:$AG$27,10,0)</f>
        <v>#N/A</v>
      </c>
    </row>
    <row r="39" spans="16:33" x14ac:dyDescent="0.3">
      <c r="AD39">
        <v>24</v>
      </c>
      <c r="AE39" t="e">
        <f>VLOOKUP(Table591317212529[[#This Row],[Final]],'Round 7'!$X$19:$AG$27,3,0)</f>
        <v>#N/A</v>
      </c>
      <c r="AF39" t="e">
        <f>VLOOKUP(Table591317212529[[#This Row],[Final]],'Round 7'!$X$19:$AG$27,4,0)</f>
        <v>#N/A</v>
      </c>
      <c r="AG39" t="e">
        <f>VLOOKUP(Table591317212529[[#This Row],[Final]],'Round 7'!$X$19:$AG$27,10,0)</f>
        <v>#N/A</v>
      </c>
    </row>
    <row r="40" spans="16:33" x14ac:dyDescent="0.3">
      <c r="AD40">
        <v>25</v>
      </c>
      <c r="AE40" t="e">
        <f>VLOOKUP(Table591317212529[[#This Row],[Final]],'Round 7'!$X$19:$AG$27,3,0)</f>
        <v>#N/A</v>
      </c>
      <c r="AF40" t="e">
        <f>VLOOKUP(Table591317212529[[#This Row],[Final]],'Round 7'!$X$19:$AG$27,4,0)</f>
        <v>#N/A</v>
      </c>
      <c r="AG40" t="e">
        <f>VLOOKUP(Table591317212529[[#This Row],[Final]],'Round 7'!$X$19:$AG$27,10,0)</f>
        <v>#N/A</v>
      </c>
    </row>
  </sheetData>
  <sheetProtection sheet="1" objects="1" scenarios="1"/>
  <conditionalFormatting sqref="A2:D2">
    <cfRule type="expression" dxfId="347" priority="132">
      <formula>$D2&gt;$D4</formula>
    </cfRule>
    <cfRule type="expression" dxfId="346" priority="130">
      <formula>$D2&lt;$D4</formula>
    </cfRule>
    <cfRule type="expression" dxfId="345" priority="129">
      <formula>AND($D2=$D4,$A2&lt;$A4)</formula>
    </cfRule>
  </conditionalFormatting>
  <conditionalFormatting sqref="A4:D4">
    <cfRule type="expression" dxfId="344" priority="128">
      <formula>$D4&lt;$D2</formula>
    </cfRule>
    <cfRule type="expression" dxfId="343" priority="131">
      <formula>$D4&gt;$D2</formula>
    </cfRule>
    <cfRule type="expression" dxfId="342" priority="127">
      <formula>AND($D4=$D2,$A4&lt;$A2)</formula>
    </cfRule>
  </conditionalFormatting>
  <conditionalFormatting sqref="A6:D6 A10:D10 A14:D14 A18:D18 A22:D22 A26:D26 A30:D30">
    <cfRule type="expression" dxfId="341" priority="101">
      <formula>$D6&lt;$D8</formula>
    </cfRule>
    <cfRule type="expression" dxfId="340" priority="100">
      <formula>AND($D6=$D8,$A6&lt;$A8)</formula>
    </cfRule>
    <cfRule type="expression" dxfId="339" priority="102">
      <formula>$D6&gt;$D8</formula>
    </cfRule>
  </conditionalFormatting>
  <conditionalFormatting sqref="A8:D8 A12:D12 A16:D16 A20:D20 A24:D24 A28:D28 A32:D32">
    <cfRule type="expression" dxfId="338" priority="99">
      <formula>$D8&gt;$D6</formula>
    </cfRule>
    <cfRule type="expression" dxfId="337" priority="97">
      <formula>AND($D8=$D6,$A8&lt;$A6)</formula>
    </cfRule>
    <cfRule type="expression" dxfId="336" priority="98">
      <formula>$D8&lt;$D6</formula>
    </cfRule>
  </conditionalFormatting>
  <conditionalFormatting sqref="F3:I3">
    <cfRule type="expression" dxfId="335" priority="126">
      <formula>$I3&gt;$I7</formula>
    </cfRule>
    <cfRule type="expression" dxfId="334" priority="125">
      <formula>$I3&lt;$I7</formula>
    </cfRule>
    <cfRule type="expression" dxfId="333" priority="124">
      <formula>AND($I3=$I7,$F3&lt;$F7)</formula>
    </cfRule>
  </conditionalFormatting>
  <conditionalFormatting sqref="F7:I7">
    <cfRule type="expression" dxfId="332" priority="120">
      <formula>$I7&gt;$I3</formula>
    </cfRule>
    <cfRule type="expression" dxfId="331" priority="119">
      <formula>$I7&lt;$I3</formula>
    </cfRule>
    <cfRule type="expression" dxfId="330" priority="118">
      <formula>AND($I7=$I3,$F7&lt;$F3)</formula>
    </cfRule>
  </conditionalFormatting>
  <conditionalFormatting sqref="F11:I11 F19:I19 F27:I27">
    <cfRule type="expression" dxfId="329" priority="121">
      <formula>AND($I11=$I15,$F11&lt;$F15)</formula>
    </cfRule>
    <cfRule type="expression" dxfId="328" priority="123">
      <formula>$I11&gt;$I15</formula>
    </cfRule>
    <cfRule type="expression" dxfId="327" priority="122">
      <formula>$I11&lt;$I15</formula>
    </cfRule>
  </conditionalFormatting>
  <conditionalFormatting sqref="F15:I15 F23:I23 F31:I31">
    <cfRule type="expression" dxfId="326" priority="116">
      <formula>$I15&lt;$I11</formula>
    </cfRule>
    <cfRule type="expression" dxfId="325" priority="117">
      <formula>$I15&gt;$I11</formula>
    </cfRule>
    <cfRule type="expression" dxfId="324" priority="115">
      <formula>AND($I15=$I11,$F15&lt;$F11)</formula>
    </cfRule>
  </conditionalFormatting>
  <conditionalFormatting sqref="K5:N5">
    <cfRule type="expression" dxfId="323" priority="114">
      <formula>$N5&gt;$N13</formula>
    </cfRule>
    <cfRule type="expression" dxfId="322" priority="113">
      <formula>$N5&lt;$N13</formula>
    </cfRule>
    <cfRule type="expression" dxfId="321" priority="112">
      <formula>AND($N5=$N13,$K5&lt;$K13)</formula>
    </cfRule>
  </conditionalFormatting>
  <conditionalFormatting sqref="K13:N13">
    <cfRule type="expression" dxfId="320" priority="106">
      <formula>AND($N13=$N5,$K13&lt;$K5)</formula>
    </cfRule>
    <cfRule type="expression" dxfId="319" priority="108">
      <formula>$N13&gt;$N5</formula>
    </cfRule>
    <cfRule type="expression" dxfId="318" priority="107">
      <formula>$N13&lt;$N5</formula>
    </cfRule>
  </conditionalFormatting>
  <conditionalFormatting sqref="K21:N21">
    <cfRule type="expression" dxfId="317" priority="109">
      <formula>AND($N21=$N29,$K21&lt;$K29)</formula>
    </cfRule>
    <cfRule type="expression" dxfId="316" priority="111">
      <formula>$N21&gt;$N29</formula>
    </cfRule>
    <cfRule type="expression" dxfId="315" priority="110">
      <formula>$N21&lt;$N29</formula>
    </cfRule>
  </conditionalFormatting>
  <conditionalFormatting sqref="K29:N29">
    <cfRule type="expression" dxfId="314" priority="105">
      <formula>$N29&gt;$N21</formula>
    </cfRule>
    <cfRule type="expression" dxfId="313" priority="103">
      <formula>AND($N29=$N21,$K29&lt;$K21)</formula>
    </cfRule>
    <cfRule type="expression" dxfId="312" priority="104">
      <formula>$N29&lt;$N21</formula>
    </cfRule>
  </conditionalFormatting>
  <conditionalFormatting sqref="P9:S9">
    <cfRule type="expression" dxfId="311" priority="96">
      <formula>$S9&gt;$S25</formula>
    </cfRule>
    <cfRule type="expression" dxfId="310" priority="95">
      <formula>$S9&lt;$S25</formula>
    </cfRule>
    <cfRule type="expression" dxfId="309" priority="94">
      <formula>AND($S9=$S25,$P9&lt;$P25)</formula>
    </cfRule>
  </conditionalFormatting>
  <conditionalFormatting sqref="P25:S25">
    <cfRule type="expression" dxfId="308" priority="93">
      <formula>$S25&gt;$S9</formula>
    </cfRule>
    <cfRule type="expression" dxfId="307" priority="92">
      <formula>$S25&lt;$S9</formula>
    </cfRule>
    <cfRule type="expression" dxfId="306" priority="91">
      <formula>AND($S25=$S9,$P25&lt;$P9)</formula>
    </cfRule>
  </conditionalFormatting>
  <conditionalFormatting sqref="Y3:AB3">
    <cfRule type="expression" dxfId="305" priority="90">
      <formula>AND($AB3=$AB4,$Y3&lt;$Y4)</formula>
    </cfRule>
    <cfRule type="expression" dxfId="304" priority="89">
      <formula>$AB3&gt;$AB4</formula>
    </cfRule>
    <cfRule type="expression" dxfId="303" priority="88">
      <formula>$AB3&lt;$AB4</formula>
    </cfRule>
  </conditionalFormatting>
  <conditionalFormatting sqref="Y4:AB4">
    <cfRule type="expression" dxfId="302" priority="87">
      <formula>AND($AB4=$AB3,$Y4&lt;$Y3)</formula>
    </cfRule>
    <cfRule type="expression" dxfId="301" priority="86">
      <formula>$AB4&gt;$AB3</formula>
    </cfRule>
    <cfRule type="expression" dxfId="300" priority="85">
      <formula>$AB4&lt;$AB3</formula>
    </cfRule>
  </conditionalFormatting>
  <conditionalFormatting sqref="Y6:AB6">
    <cfRule type="expression" dxfId="299" priority="83">
      <formula>$AB6&gt;$AB7</formula>
    </cfRule>
    <cfRule type="expression" dxfId="298" priority="84">
      <formula>AND($AB6=$AB7,$Y6&lt;$Y7)</formula>
    </cfRule>
    <cfRule type="expression" dxfId="297" priority="82">
      <formula>$AB6&lt;$AB7</formula>
    </cfRule>
  </conditionalFormatting>
  <conditionalFormatting sqref="Y7:AB7">
    <cfRule type="expression" dxfId="296" priority="81">
      <formula>AND($AB7=$AB6,$Y7&lt;$Y6)</formula>
    </cfRule>
    <cfRule type="expression" dxfId="295" priority="80">
      <formula>$AB7&gt;$AB6</formula>
    </cfRule>
    <cfRule type="expression" dxfId="294" priority="79">
      <formula>$AB7&lt;$AB6</formula>
    </cfRule>
  </conditionalFormatting>
  <conditionalFormatting sqref="Y9:AB9">
    <cfRule type="expression" dxfId="293" priority="78">
      <formula>AND($AB9=$AB10,$Y9&lt;$Y10)</formula>
    </cfRule>
    <cfRule type="expression" dxfId="292" priority="77">
      <formula>$AB9&gt;$AB10</formula>
    </cfRule>
    <cfRule type="expression" dxfId="291" priority="76">
      <formula>$AB9&lt;$AB10</formula>
    </cfRule>
  </conditionalFormatting>
  <conditionalFormatting sqref="Y10:AB10">
    <cfRule type="expression" dxfId="290" priority="75">
      <formula>AND($AB10=$AB9,$Y10&lt;$Y9)</formula>
    </cfRule>
    <cfRule type="expression" dxfId="289" priority="74">
      <formula>$AB10&gt;$AB9</formula>
    </cfRule>
    <cfRule type="expression" dxfId="288" priority="73">
      <formula>$AB10&lt;$AB9</formula>
    </cfRule>
  </conditionalFormatting>
  <conditionalFormatting sqref="Y12:AB12">
    <cfRule type="expression" dxfId="287" priority="72">
      <formula>AND($AB12=$AB13,$Y12&lt;$Y13)</formula>
    </cfRule>
    <cfRule type="expression" dxfId="286" priority="70">
      <formula>$AB12&lt;$AB13</formula>
    </cfRule>
    <cfRule type="expression" dxfId="285" priority="71">
      <formula>$AB12&gt;$AB13</formula>
    </cfRule>
  </conditionalFormatting>
  <conditionalFormatting sqref="Y13:AB13">
    <cfRule type="expression" dxfId="284" priority="67">
      <formula>$AB13&lt;$AB12</formula>
    </cfRule>
    <cfRule type="expression" dxfId="283" priority="68">
      <formula>$AB13&gt;$AB12</formula>
    </cfRule>
    <cfRule type="expression" dxfId="282" priority="69">
      <formula>AND($AB13=$AB12,$Y13&lt;$Y12)</formula>
    </cfRule>
  </conditionalFormatting>
  <conditionalFormatting sqref="Y15:AB15">
    <cfRule type="expression" dxfId="281" priority="66">
      <formula>AND($AB15=$AB16,$Y15&lt;$Y16)</formula>
    </cfRule>
    <cfRule type="expression" dxfId="280" priority="65">
      <formula>$AB15&gt;$AB16</formula>
    </cfRule>
    <cfRule type="expression" dxfId="279" priority="64">
      <formula>$AB15&lt;$AB16</formula>
    </cfRule>
  </conditionalFormatting>
  <conditionalFormatting sqref="Y16:AB16">
    <cfRule type="expression" dxfId="278" priority="61">
      <formula>$AB16&lt;$AB15</formula>
    </cfRule>
    <cfRule type="expression" dxfId="277" priority="63">
      <formula>AND($AB16=$AB15,$Y16&lt;$Y15)</formula>
    </cfRule>
    <cfRule type="expression" dxfId="276" priority="62">
      <formula>$AB16&gt;$AB15</formula>
    </cfRule>
  </conditionalFormatting>
  <conditionalFormatting sqref="Y18:AB18">
    <cfRule type="expression" dxfId="275" priority="60">
      <formula>AND($AB18=$AB19,$Y18&lt;$Y19)</formula>
    </cfRule>
    <cfRule type="expression" dxfId="274" priority="59">
      <formula>$AB18&gt;$AB19</formula>
    </cfRule>
    <cfRule type="expression" dxfId="273" priority="58">
      <formula>$AB18&lt;$AB19</formula>
    </cfRule>
  </conditionalFormatting>
  <conditionalFormatting sqref="Y19:AB19">
    <cfRule type="expression" dxfId="272" priority="57">
      <formula>AND($AB19=$AB18,$Y19&lt;$Y18)</formula>
    </cfRule>
    <cfRule type="expression" dxfId="271" priority="56">
      <formula>$AB19&gt;$AB18</formula>
    </cfRule>
    <cfRule type="expression" dxfId="270" priority="55">
      <formula>$AB19&lt;$AB18</formula>
    </cfRule>
  </conditionalFormatting>
  <conditionalFormatting sqref="Y21:AB21">
    <cfRule type="expression" dxfId="269" priority="54">
      <formula>AND($AB21=$AB22,$Y21&lt;$Y22)</formula>
    </cfRule>
    <cfRule type="expression" dxfId="268" priority="53">
      <formula>$AB21&gt;$AB22</formula>
    </cfRule>
    <cfRule type="expression" dxfId="267" priority="52">
      <formula>$AB21&lt;$AB22</formula>
    </cfRule>
  </conditionalFormatting>
  <conditionalFormatting sqref="Y22:AB22">
    <cfRule type="expression" dxfId="266" priority="51">
      <formula>AND($AB22=$AB21,$Y22&lt;$Y21)</formula>
    </cfRule>
    <cfRule type="expression" dxfId="265" priority="50">
      <formula>$AB22&gt;$AB21</formula>
    </cfRule>
    <cfRule type="expression" dxfId="264" priority="49">
      <formula>$AB22&lt;$AB21</formula>
    </cfRule>
  </conditionalFormatting>
  <conditionalFormatting sqref="Y24:AB24">
    <cfRule type="expression" dxfId="263" priority="48">
      <formula>AND($AB24=$AB25,$Y24&lt;$Y25)</formula>
    </cfRule>
    <cfRule type="expression" dxfId="262" priority="47">
      <formula>$AB24&gt;$AB25</formula>
    </cfRule>
    <cfRule type="expression" dxfId="261" priority="46">
      <formula>$AB24&lt;$AB25</formula>
    </cfRule>
  </conditionalFormatting>
  <conditionalFormatting sqref="Y25:AB25">
    <cfRule type="expression" dxfId="260" priority="45">
      <formula>AND($AB25=$AB24,$Y25&lt;$Y24)</formula>
    </cfRule>
    <cfRule type="expression" dxfId="259" priority="44">
      <formula>$AB25&gt;$AB24</formula>
    </cfRule>
    <cfRule type="expression" dxfId="258" priority="43">
      <formula>$AB25&lt;$AB24</formula>
    </cfRule>
  </conditionalFormatting>
  <conditionalFormatting sqref="Y27:AB27">
    <cfRule type="expression" dxfId="257" priority="42">
      <formula>AND($AB27=$AB28,$Y27&lt;$Y28)</formula>
    </cfRule>
    <cfRule type="expression" dxfId="256" priority="41">
      <formula>$AB27&gt;$AB28</formula>
    </cfRule>
    <cfRule type="expression" dxfId="255" priority="40">
      <formula>$AB27&lt;$AB28</formula>
    </cfRule>
  </conditionalFormatting>
  <conditionalFormatting sqref="Y28:AB28">
    <cfRule type="expression" dxfId="254" priority="39">
      <formula>AND($AB28=$AB27,$Y28&lt;$Y27)</formula>
    </cfRule>
    <cfRule type="expression" dxfId="253" priority="38">
      <formula>$AB28&gt;$AB27</formula>
    </cfRule>
    <cfRule type="expression" dxfId="252" priority="37">
      <formula>$AB28&lt;$AB27</formula>
    </cfRule>
  </conditionalFormatting>
  <conditionalFormatting sqref="Y30:AB30">
    <cfRule type="expression" dxfId="251" priority="36">
      <formula>AND($AB30=$AB31,$Y30&lt;$Y31)</formula>
    </cfRule>
    <cfRule type="expression" dxfId="250" priority="35">
      <formula>$AB30&gt;$AB31</formula>
    </cfRule>
    <cfRule type="expression" dxfId="249" priority="34">
      <formula>$AB30&lt;$AB31</formula>
    </cfRule>
  </conditionalFormatting>
  <conditionalFormatting sqref="Y31:AB31">
    <cfRule type="expression" dxfId="248" priority="33">
      <formula>AND($AB31=$AB30,$Y31&lt;$Y30)</formula>
    </cfRule>
    <cfRule type="expression" dxfId="247" priority="32">
      <formula>$AB31&gt;$AB30</formula>
    </cfRule>
    <cfRule type="expression" dxfId="246" priority="31">
      <formula>$AB31&lt;$AB30</formula>
    </cfRule>
  </conditionalFormatting>
  <conditionalFormatting sqref="Y33:AB33">
    <cfRule type="expression" dxfId="245" priority="30">
      <formula>AND($AB33=$AB34,$Y33&lt;$Y34)</formula>
    </cfRule>
    <cfRule type="expression" dxfId="244" priority="29">
      <formula>$AB33&gt;$AB34</formula>
    </cfRule>
    <cfRule type="expression" dxfId="243" priority="28">
      <formula>$AB33&lt;$AB34</formula>
    </cfRule>
  </conditionalFormatting>
  <conditionalFormatting sqref="Y34:AB34">
    <cfRule type="expression" dxfId="242" priority="27">
      <formula>AND($AB34=$AB33,$Y34&lt;$Y33)</formula>
    </cfRule>
    <cfRule type="expression" dxfId="241" priority="26">
      <formula>$AB34&gt;$AB33</formula>
    </cfRule>
    <cfRule type="expression" dxfId="240" priority="25">
      <formula>$AB34&lt;$AB33</formula>
    </cfRule>
  </conditionalFormatting>
  <conditionalFormatting sqref="Y36:AB36">
    <cfRule type="expression" dxfId="239" priority="24">
      <formula>AND($AB36=$AB37,$Y36&lt;$Y37)</formula>
    </cfRule>
    <cfRule type="expression" dxfId="238" priority="23">
      <formula>$AB36&gt;$AB37</formula>
    </cfRule>
    <cfRule type="expression" dxfId="237" priority="22">
      <formula>$AB36&lt;$AB37</formula>
    </cfRule>
  </conditionalFormatting>
  <conditionalFormatting sqref="Y37:AB37">
    <cfRule type="expression" dxfId="236" priority="19">
      <formula>$AB37&lt;$AB36</formula>
    </cfRule>
    <cfRule type="expression" dxfId="235" priority="20">
      <formula>$AB37&gt;$AB36</formula>
    </cfRule>
    <cfRule type="expression" dxfId="234" priority="21">
      <formula>AND($AB37=$AB36,$Y37&lt;$Y36)</formula>
    </cfRule>
  </conditionalFormatting>
  <conditionalFormatting sqref="AD3:AG3 AD12:AG12">
    <cfRule type="expression" dxfId="233" priority="17">
      <formula>$AG3&gt;$AG4</formula>
    </cfRule>
    <cfRule type="expression" dxfId="232" priority="18">
      <formula>AND($AG3=$AG4,$AD3&lt;$AD4)</formula>
    </cfRule>
    <cfRule type="expression" dxfId="231" priority="16">
      <formula>$AG3&lt;$AG4</formula>
    </cfRule>
  </conditionalFormatting>
  <conditionalFormatting sqref="AD4:AG4 AD13:AG13">
    <cfRule type="expression" dxfId="230" priority="15">
      <formula>AND($AG4=$AG3,$AD4&lt;$AD3)</formula>
    </cfRule>
    <cfRule type="expression" dxfId="229" priority="14">
      <formula>$AG4&gt;$AG3</formula>
    </cfRule>
    <cfRule type="expression" dxfId="228" priority="13">
      <formula>$AG4&lt;$AG3</formula>
    </cfRule>
  </conditionalFormatting>
  <conditionalFormatting sqref="AD6:AG6">
    <cfRule type="expression" dxfId="227" priority="12">
      <formula>AND($AG6=$AG7,$AD6&lt;$AD7)</formula>
    </cfRule>
    <cfRule type="expression" dxfId="226" priority="11">
      <formula>$AG6&gt;$AG7</formula>
    </cfRule>
    <cfRule type="expression" dxfId="225" priority="10">
      <formula>$AG6&lt;$AG7</formula>
    </cfRule>
  </conditionalFormatting>
  <conditionalFormatting sqref="AD7:AG7">
    <cfRule type="expression" dxfId="224" priority="9">
      <formula>AND($AG7=$AG6,$AD7&lt;$AD6)</formula>
    </cfRule>
    <cfRule type="expression" dxfId="223" priority="8">
      <formula>$AG7&gt;$AG6</formula>
    </cfRule>
    <cfRule type="expression" dxfId="222" priority="7">
      <formula>$AG7&lt;$AG6</formula>
    </cfRule>
  </conditionalFormatting>
  <conditionalFormatting sqref="AD9:AG9">
    <cfRule type="expression" dxfId="221" priority="4">
      <formula>$AG9&lt;$AG10</formula>
    </cfRule>
    <cfRule type="expression" dxfId="220" priority="6">
      <formula>AND($AG9=$AG10,$AD9&lt;$AD10)</formula>
    </cfRule>
    <cfRule type="expression" dxfId="219" priority="5">
      <formula>$AG9&gt;$AG10</formula>
    </cfRule>
  </conditionalFormatting>
  <conditionalFormatting sqref="AD10:AG10">
    <cfRule type="expression" dxfId="218" priority="3">
      <formula>AND($AG10=$AG9,$AD10&lt;$AD9)</formula>
    </cfRule>
    <cfRule type="expression" dxfId="217" priority="1">
      <formula>$AG10&lt;$AG9</formula>
    </cfRule>
    <cfRule type="expression" dxfId="216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62EBB-D9EE-4347-905E-968C6AAF694F}">
  <sheetPr>
    <pageSetUpPr fitToPage="1"/>
  </sheetPr>
  <dimension ref="A1:W33"/>
  <sheetViews>
    <sheetView workbookViewId="0">
      <selection activeCell="V27" sqref="V27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7 Finals'!A1</f>
        <v>Q Pos</v>
      </c>
      <c r="B1" t="str">
        <f>'Round 7 Finals'!B1</f>
        <v>#</v>
      </c>
      <c r="C1" t="str">
        <f>'Round 7 Finals'!C1</f>
        <v>Name</v>
      </c>
      <c r="D1" t="str">
        <f>'Round 7 Finals'!D1</f>
        <v>Score</v>
      </c>
      <c r="F1" t="str">
        <f>'Round 7 Finals'!F1</f>
        <v>Q</v>
      </c>
      <c r="G1" t="str">
        <f>'Round 7 Finals'!G1</f>
        <v>#</v>
      </c>
      <c r="K1" t="str">
        <f>'Round 7 Finals'!K1</f>
        <v>Q</v>
      </c>
      <c r="L1" t="str">
        <f>'Round 7 Finals'!L1</f>
        <v>#</v>
      </c>
      <c r="P1" t="str">
        <f>'Round 7 Finals'!P1</f>
        <v>Q</v>
      </c>
      <c r="Q1" t="str">
        <f>'Round 7 Finals'!Q1</f>
        <v>#</v>
      </c>
      <c r="V1" t="str">
        <f>'Round 7 Finals'!V1</f>
        <v>#</v>
      </c>
    </row>
    <row r="2" spans="1:22" x14ac:dyDescent="0.3">
      <c r="A2" s="1">
        <f>'Round 7 Finals'!A2</f>
        <v>1</v>
      </c>
      <c r="B2" s="1" t="e">
        <f>'Round 7 Finals'!B2</f>
        <v>#N/A</v>
      </c>
      <c r="C2" s="1" t="e">
        <f>'Round 7 Finals'!C2</f>
        <v>#N/A</v>
      </c>
      <c r="D2" s="1">
        <f>'Round 7 Finals'!D2</f>
        <v>0</v>
      </c>
      <c r="E2" s="2"/>
    </row>
    <row r="3" spans="1:22" x14ac:dyDescent="0.3">
      <c r="A3" s="3"/>
      <c r="E3" s="2"/>
      <c r="F3" s="1" t="str">
        <f>'Round 7 Finals'!F3</f>
        <v/>
      </c>
      <c r="G3" s="1" t="str">
        <f>'Round 7 Finals'!G3</f>
        <v/>
      </c>
      <c r="H3" s="1" t="str">
        <f>'Round 7 Finals'!H3</f>
        <v/>
      </c>
      <c r="I3" s="1">
        <f>'Round 7 Finals'!I3</f>
        <v>0</v>
      </c>
      <c r="J3" s="2"/>
    </row>
    <row r="4" spans="1:22" x14ac:dyDescent="0.3">
      <c r="A4" s="1">
        <f>'Round 7 Finals'!A4</f>
        <v>16</v>
      </c>
      <c r="B4" s="1" t="e">
        <f>'Round 7 Finals'!B4</f>
        <v>#N/A</v>
      </c>
      <c r="C4" s="1" t="e">
        <f>'Round 7 Finals'!C4</f>
        <v>#N/A</v>
      </c>
      <c r="D4" s="1">
        <f>'Round 7 Finals'!D4</f>
        <v>0</v>
      </c>
      <c r="E4" s="2"/>
      <c r="J4" s="2"/>
    </row>
    <row r="5" spans="1:22" x14ac:dyDescent="0.3">
      <c r="J5" s="2"/>
      <c r="K5" s="1" t="str">
        <f>'Round 7 Finals'!K5</f>
        <v/>
      </c>
      <c r="L5" s="1" t="str">
        <f>'Round 7 Finals'!L5</f>
        <v/>
      </c>
      <c r="M5" s="1" t="str">
        <f>'Round 7 Finals'!M5</f>
        <v/>
      </c>
      <c r="N5" s="1">
        <f>'Round 7 Finals'!N5</f>
        <v>0</v>
      </c>
      <c r="O5" s="2"/>
    </row>
    <row r="6" spans="1:22" x14ac:dyDescent="0.3">
      <c r="A6" s="1">
        <f>'Round 7 Finals'!A6</f>
        <v>8</v>
      </c>
      <c r="B6" s="1" t="e">
        <f>'Round 7 Finals'!B6</f>
        <v>#N/A</v>
      </c>
      <c r="C6" s="1" t="e">
        <f>'Round 7 Finals'!C6</f>
        <v>#N/A</v>
      </c>
      <c r="D6" s="1">
        <f>'Round 7 Finals'!D6</f>
        <v>0</v>
      </c>
      <c r="E6" s="2"/>
      <c r="J6" s="2"/>
      <c r="O6" s="2"/>
    </row>
    <row r="7" spans="1:22" x14ac:dyDescent="0.3">
      <c r="A7" s="3"/>
      <c r="E7" s="2"/>
      <c r="F7" s="1" t="str">
        <f>'Round 7 Finals'!F7</f>
        <v/>
      </c>
      <c r="G7" s="1" t="str">
        <f>'Round 7 Finals'!G7</f>
        <v/>
      </c>
      <c r="H7" s="1" t="str">
        <f>'Round 7 Finals'!H7</f>
        <v/>
      </c>
      <c r="I7" s="1">
        <f>'Round 7 Finals'!I7</f>
        <v>0</v>
      </c>
      <c r="J7" s="2"/>
      <c r="O7" s="2"/>
    </row>
    <row r="8" spans="1:22" x14ac:dyDescent="0.3">
      <c r="A8" s="1">
        <f>'Round 7 Finals'!A8</f>
        <v>9</v>
      </c>
      <c r="B8" s="1" t="e">
        <f>'Round 7 Finals'!B8</f>
        <v>#N/A</v>
      </c>
      <c r="C8" s="1" t="e">
        <f>'Round 7 Finals'!C8</f>
        <v>#N/A</v>
      </c>
      <c r="D8" s="1">
        <f>'Round 7 Finals'!D8</f>
        <v>0</v>
      </c>
      <c r="E8" s="2"/>
      <c r="O8" s="2"/>
    </row>
    <row r="9" spans="1:22" x14ac:dyDescent="0.3">
      <c r="O9" s="2"/>
      <c r="P9" s="1" t="str">
        <f>'Round 7 Finals'!P9</f>
        <v/>
      </c>
      <c r="Q9" s="1" t="str">
        <f>'Round 7 Finals'!Q9</f>
        <v/>
      </c>
      <c r="R9" s="1" t="str">
        <f>'Round 7 Finals'!R9</f>
        <v/>
      </c>
      <c r="S9" s="1">
        <f>'Round 7 Finals'!S9</f>
        <v>0</v>
      </c>
      <c r="T9" s="2"/>
    </row>
    <row r="10" spans="1:22" x14ac:dyDescent="0.3">
      <c r="A10" s="1">
        <f>'Round 7 Finals'!A10</f>
        <v>4</v>
      </c>
      <c r="B10" s="1" t="e">
        <f>'Round 7 Finals'!B10</f>
        <v>#N/A</v>
      </c>
      <c r="C10" s="1" t="e">
        <f>'Round 7 Finals'!C10</f>
        <v>#N/A</v>
      </c>
      <c r="D10" s="1">
        <f>'Round 7 Finals'!D10</f>
        <v>0</v>
      </c>
      <c r="E10" s="2"/>
      <c r="O10" s="2"/>
      <c r="T10" s="2"/>
    </row>
    <row r="11" spans="1:22" x14ac:dyDescent="0.3">
      <c r="A11" s="3"/>
      <c r="E11" s="2"/>
      <c r="F11" s="1" t="str">
        <f>'Round 7 Finals'!F11</f>
        <v/>
      </c>
      <c r="G11" s="1" t="str">
        <f>'Round 7 Finals'!G11</f>
        <v/>
      </c>
      <c r="H11" s="1" t="str">
        <f>'Round 7 Finals'!H11</f>
        <v/>
      </c>
      <c r="I11" s="1">
        <f>'Round 7 Finals'!I11</f>
        <v>0</v>
      </c>
      <c r="J11" s="2"/>
      <c r="O11" s="2"/>
      <c r="T11" s="2"/>
    </row>
    <row r="12" spans="1:22" x14ac:dyDescent="0.3">
      <c r="A12" s="1">
        <f>'Round 7 Finals'!A12</f>
        <v>13</v>
      </c>
      <c r="B12" s="1" t="e">
        <f>'Round 7 Finals'!B12</f>
        <v>#N/A</v>
      </c>
      <c r="C12" s="1" t="e">
        <f>'Round 7 Finals'!C12</f>
        <v>#N/A</v>
      </c>
      <c r="D12" s="1">
        <f>'Round 7 Finals'!D12</f>
        <v>0</v>
      </c>
      <c r="E12" s="2"/>
      <c r="J12" s="2"/>
      <c r="O12" s="2"/>
      <c r="T12" s="2"/>
    </row>
    <row r="13" spans="1:22" x14ac:dyDescent="0.3">
      <c r="J13" s="2"/>
      <c r="K13" s="1" t="str">
        <f>'Round 7 Finals'!K13</f>
        <v/>
      </c>
      <c r="L13" s="1" t="str">
        <f>'Round 7 Finals'!L13</f>
        <v/>
      </c>
      <c r="M13" s="1" t="str">
        <f>'Round 7 Finals'!M13</f>
        <v/>
      </c>
      <c r="N13" s="1">
        <f>'Round 7 Finals'!N13</f>
        <v>0</v>
      </c>
      <c r="O13" s="2"/>
      <c r="T13" s="2"/>
    </row>
    <row r="14" spans="1:22" x14ac:dyDescent="0.3">
      <c r="A14" s="1">
        <f>'Round 7 Finals'!A14</f>
        <v>5</v>
      </c>
      <c r="B14" s="1" t="e">
        <f>'Round 7 Finals'!B14</f>
        <v>#N/A</v>
      </c>
      <c r="C14" s="1" t="e">
        <f>'Round 7 Finals'!C14</f>
        <v>#N/A</v>
      </c>
      <c r="D14" s="1">
        <f>'Round 7 Finals'!D14</f>
        <v>0</v>
      </c>
      <c r="E14" s="2"/>
      <c r="J14" s="2"/>
      <c r="T14" s="2"/>
    </row>
    <row r="15" spans="1:22" x14ac:dyDescent="0.3">
      <c r="A15" s="3"/>
      <c r="E15" s="2"/>
      <c r="F15" s="1" t="str">
        <f>'Round 7 Finals'!F15</f>
        <v/>
      </c>
      <c r="G15" s="1" t="str">
        <f>'Round 7 Finals'!G15</f>
        <v/>
      </c>
      <c r="H15" s="1" t="str">
        <f>'Round 7 Finals'!H15</f>
        <v/>
      </c>
      <c r="I15" s="1">
        <f>'Round 7 Finals'!I15</f>
        <v>0</v>
      </c>
      <c r="J15" s="2"/>
      <c r="T15" s="2"/>
    </row>
    <row r="16" spans="1:22" x14ac:dyDescent="0.3">
      <c r="A16" s="1">
        <f>'Round 7 Finals'!A16</f>
        <v>12</v>
      </c>
      <c r="B16" s="1" t="e">
        <f>'Round 7 Finals'!B16</f>
        <v>#N/A</v>
      </c>
      <c r="C16" s="1" t="e">
        <f>'Round 7 Finals'!C16</f>
        <v>#N/A</v>
      </c>
      <c r="D16" s="1">
        <f>'Round 7 Finals'!D16</f>
        <v>0</v>
      </c>
      <c r="E16" s="2"/>
      <c r="T16" s="2"/>
    </row>
    <row r="17" spans="1:23" x14ac:dyDescent="0.3">
      <c r="T17" s="2"/>
      <c r="U17" s="5" t="str">
        <f>'Round 7 Finals'!U17</f>
        <v/>
      </c>
      <c r="V17" s="5" t="str">
        <f>'Round 7 Finals'!V17</f>
        <v/>
      </c>
      <c r="W17" s="5" t="str">
        <f>'Round 7 Finals'!W17</f>
        <v/>
      </c>
    </row>
    <row r="18" spans="1:23" x14ac:dyDescent="0.3">
      <c r="A18" s="1">
        <f>'Round 7 Finals'!A18</f>
        <v>2</v>
      </c>
      <c r="B18" s="1" t="e">
        <f>'Round 7 Finals'!B18</f>
        <v>#N/A</v>
      </c>
      <c r="C18" s="1" t="e">
        <f>'Round 7 Finals'!C18</f>
        <v>#N/A</v>
      </c>
      <c r="D18" s="1">
        <f>'Round 7 Finals'!D18</f>
        <v>0</v>
      </c>
      <c r="E18" s="2"/>
      <c r="T18" s="2"/>
    </row>
    <row r="19" spans="1:23" x14ac:dyDescent="0.3">
      <c r="A19" s="3"/>
      <c r="E19" s="2"/>
      <c r="F19" s="1" t="str">
        <f>'Round 7 Finals'!F19</f>
        <v/>
      </c>
      <c r="G19" s="1" t="str">
        <f>'Round 7 Finals'!G19</f>
        <v/>
      </c>
      <c r="H19" s="1" t="str">
        <f>'Round 7 Finals'!H19</f>
        <v/>
      </c>
      <c r="I19" s="1">
        <f>'Round 7 Finals'!I19</f>
        <v>0</v>
      </c>
      <c r="J19" s="2"/>
      <c r="T19" s="2"/>
    </row>
    <row r="20" spans="1:23" x14ac:dyDescent="0.3">
      <c r="A20" s="1">
        <f>'Round 7 Finals'!A20</f>
        <v>15</v>
      </c>
      <c r="B20" s="1" t="e">
        <f>'Round 7 Finals'!B20</f>
        <v>#N/A</v>
      </c>
      <c r="C20" s="1" t="e">
        <f>'Round 7 Finals'!C20</f>
        <v>#N/A</v>
      </c>
      <c r="D20" s="1">
        <f>'Round 7 Finals'!D20</f>
        <v>0</v>
      </c>
      <c r="E20" s="2"/>
      <c r="J20" s="2"/>
      <c r="T20" s="2"/>
    </row>
    <row r="21" spans="1:23" x14ac:dyDescent="0.3">
      <c r="J21" s="2"/>
      <c r="K21" s="1" t="str">
        <f>'Round 7 Finals'!K21</f>
        <v/>
      </c>
      <c r="L21" s="1" t="str">
        <f>'Round 7 Finals'!L21</f>
        <v/>
      </c>
      <c r="M21" s="1" t="str">
        <f>'Round 7 Finals'!M21</f>
        <v/>
      </c>
      <c r="N21" s="1">
        <f>'Round 7 Finals'!N21</f>
        <v>0</v>
      </c>
      <c r="O21" s="2"/>
      <c r="T21" s="2"/>
    </row>
    <row r="22" spans="1:23" x14ac:dyDescent="0.3">
      <c r="A22" s="1">
        <f>'Round 7 Finals'!A22</f>
        <v>7</v>
      </c>
      <c r="B22" s="1" t="e">
        <f>'Round 7 Finals'!B22</f>
        <v>#N/A</v>
      </c>
      <c r="C22" s="1" t="e">
        <f>'Round 7 Finals'!C22</f>
        <v>#N/A</v>
      </c>
      <c r="D22" s="1">
        <f>'Round 7 Finals'!D22</f>
        <v>0</v>
      </c>
      <c r="E22" s="2"/>
      <c r="J22" s="2"/>
      <c r="O22" s="2"/>
      <c r="T22" s="2"/>
    </row>
    <row r="23" spans="1:23" x14ac:dyDescent="0.3">
      <c r="A23" s="3"/>
      <c r="E23" s="2"/>
      <c r="F23" s="1" t="str">
        <f>'Round 7 Finals'!F23</f>
        <v/>
      </c>
      <c r="G23" s="1" t="str">
        <f>'Round 7 Finals'!G23</f>
        <v/>
      </c>
      <c r="H23" s="1" t="str">
        <f>'Round 7 Finals'!H23</f>
        <v/>
      </c>
      <c r="I23" s="1">
        <f>'Round 7 Finals'!I23</f>
        <v>0</v>
      </c>
      <c r="J23" s="2"/>
      <c r="O23" s="2"/>
      <c r="T23" s="2"/>
    </row>
    <row r="24" spans="1:23" x14ac:dyDescent="0.3">
      <c r="A24" s="1">
        <f>'Round 7 Finals'!A24</f>
        <v>10</v>
      </c>
      <c r="B24" s="1" t="e">
        <f>'Round 7 Finals'!B24</f>
        <v>#N/A</v>
      </c>
      <c r="C24" s="1" t="e">
        <f>'Round 7 Finals'!C24</f>
        <v>#N/A</v>
      </c>
      <c r="D24" s="1">
        <f>'Round 7 Finals'!D24</f>
        <v>0</v>
      </c>
      <c r="E24" s="2"/>
      <c r="O24" s="2"/>
      <c r="T24" s="2"/>
    </row>
    <row r="25" spans="1:23" x14ac:dyDescent="0.3">
      <c r="O25" s="2"/>
      <c r="P25" s="1" t="str">
        <f>'Round 7 Finals'!P25</f>
        <v/>
      </c>
      <c r="Q25" s="1" t="str">
        <f>'Round 7 Finals'!Q25</f>
        <v/>
      </c>
      <c r="R25" s="1" t="str">
        <f>'Round 7 Finals'!R25</f>
        <v/>
      </c>
      <c r="S25" s="1">
        <f>'Round 7 Finals'!S25</f>
        <v>0</v>
      </c>
      <c r="T25" s="2"/>
    </row>
    <row r="26" spans="1:23" x14ac:dyDescent="0.3">
      <c r="A26" s="1">
        <f>'Round 7 Finals'!A26</f>
        <v>3</v>
      </c>
      <c r="B26" s="1" t="e">
        <f>'Round 7 Finals'!B26</f>
        <v>#N/A</v>
      </c>
      <c r="C26" s="1" t="e">
        <f>'Round 7 Finals'!C26</f>
        <v>#N/A</v>
      </c>
      <c r="D26" s="1">
        <f>'Round 7 Finals'!D26</f>
        <v>0</v>
      </c>
      <c r="E26" s="2"/>
      <c r="O26" s="2"/>
    </row>
    <row r="27" spans="1:23" x14ac:dyDescent="0.3">
      <c r="A27" s="3"/>
      <c r="E27" s="2"/>
      <c r="F27" s="1" t="str">
        <f>'Round 7 Finals'!F27</f>
        <v/>
      </c>
      <c r="G27" s="1" t="str">
        <f>'Round 7 Finals'!G27</f>
        <v/>
      </c>
      <c r="H27" s="1" t="str">
        <f>'Round 7 Finals'!H27</f>
        <v/>
      </c>
      <c r="I27" s="1">
        <f>'Round 7 Finals'!I27</f>
        <v>0</v>
      </c>
      <c r="J27" s="2"/>
      <c r="O27" s="2"/>
    </row>
    <row r="28" spans="1:23" x14ac:dyDescent="0.3">
      <c r="A28" s="1">
        <f>'Round 7 Finals'!A28</f>
        <v>14</v>
      </c>
      <c r="B28" s="1" t="e">
        <f>'Round 7 Finals'!B28</f>
        <v>#N/A</v>
      </c>
      <c r="C28" s="1" t="e">
        <f>'Round 7 Finals'!C28</f>
        <v>#N/A</v>
      </c>
      <c r="D28" s="1">
        <f>'Round 7 Finals'!D28</f>
        <v>0</v>
      </c>
      <c r="E28" s="2"/>
      <c r="J28" s="2"/>
      <c r="O28" s="2"/>
    </row>
    <row r="29" spans="1:23" x14ac:dyDescent="0.3">
      <c r="J29" s="2"/>
      <c r="K29" s="1" t="str">
        <f>'Round 7 Finals'!K29</f>
        <v/>
      </c>
      <c r="L29" s="1" t="str">
        <f>'Round 7 Finals'!L29</f>
        <v/>
      </c>
      <c r="M29" s="1" t="str">
        <f>'Round 7 Finals'!M29</f>
        <v/>
      </c>
      <c r="N29" s="1">
        <f>'Round 7 Finals'!N29</f>
        <v>0</v>
      </c>
      <c r="O29" s="2"/>
    </row>
    <row r="30" spans="1:23" x14ac:dyDescent="0.3">
      <c r="A30" s="1">
        <f>'Round 7 Finals'!A30</f>
        <v>6</v>
      </c>
      <c r="B30" s="1" t="e">
        <f>'Round 7 Finals'!B30</f>
        <v>#N/A</v>
      </c>
      <c r="C30" s="1" t="e">
        <f>'Round 7 Finals'!C30</f>
        <v>#N/A</v>
      </c>
      <c r="D30" s="1">
        <f>'Round 7 Finals'!D30</f>
        <v>0</v>
      </c>
      <c r="E30" s="2"/>
      <c r="J30" s="2"/>
    </row>
    <row r="31" spans="1:23" x14ac:dyDescent="0.3">
      <c r="A31" s="3"/>
      <c r="E31" s="2"/>
      <c r="F31" s="1" t="str">
        <f>'Round 7 Finals'!F31</f>
        <v/>
      </c>
      <c r="G31" s="1" t="str">
        <f>'Round 7 Finals'!G31</f>
        <v/>
      </c>
      <c r="H31" s="1" t="str">
        <f>'Round 7 Finals'!H31</f>
        <v/>
      </c>
      <c r="I31" s="1">
        <f>'Round 7 Finals'!I31</f>
        <v>0</v>
      </c>
      <c r="J31" s="2"/>
      <c r="P31" s="1" t="str">
        <f>'Round 7 Finals'!P31</f>
        <v/>
      </c>
      <c r="Q31" s="1" t="str">
        <f>'Round 7 Finals'!Q31</f>
        <v/>
      </c>
      <c r="R31" s="1" t="str">
        <f>'Round 7 Finals'!R31</f>
        <v/>
      </c>
      <c r="S31" s="1">
        <f>'Round 7 Finals'!S31</f>
        <v>0</v>
      </c>
      <c r="T31" s="2"/>
    </row>
    <row r="32" spans="1:23" x14ac:dyDescent="0.3">
      <c r="A32" s="1">
        <f>'Round 7 Finals'!A32</f>
        <v>11</v>
      </c>
      <c r="B32" s="1" t="e">
        <f>'Round 7 Finals'!B32</f>
        <v>#N/A</v>
      </c>
      <c r="C32" s="1" t="e">
        <f>'Round 7 Finals'!C32</f>
        <v>#N/A</v>
      </c>
      <c r="D32" s="1">
        <f>'Round 7 Finals'!D32</f>
        <v>0</v>
      </c>
      <c r="E32" s="2"/>
      <c r="T32" s="2"/>
      <c r="U32" s="1"/>
      <c r="V32" s="1" t="str">
        <f>'Round 7 Finals'!V32</f>
        <v/>
      </c>
      <c r="W32" s="1" t="str">
        <f>'Round 7 Finals'!W32</f>
        <v/>
      </c>
    </row>
    <row r="33" spans="16:20" x14ac:dyDescent="0.3">
      <c r="P33" s="1" t="str">
        <f>'Round 7 Finals'!P33</f>
        <v/>
      </c>
      <c r="Q33" s="1" t="str">
        <f>'Round 7 Finals'!Q33</f>
        <v/>
      </c>
      <c r="R33" s="1" t="str">
        <f>'Round 7 Finals'!R33</f>
        <v/>
      </c>
      <c r="S33" s="1">
        <f>'Round 7 Finals'!S33</f>
        <v>0</v>
      </c>
      <c r="T33" s="2"/>
    </row>
  </sheetData>
  <sheetProtection sheet="1" objects="1" scenarios="1"/>
  <conditionalFormatting sqref="A2:D2">
    <cfRule type="expression" dxfId="215" priority="39">
      <formula>AND($D2=$D4,$A2&lt;$A4)</formula>
    </cfRule>
    <cfRule type="expression" dxfId="214" priority="42">
      <formula>$D2&gt;$D4</formula>
    </cfRule>
    <cfRule type="expression" dxfId="213" priority="40">
      <formula>$D2&lt;$D4</formula>
    </cfRule>
  </conditionalFormatting>
  <conditionalFormatting sqref="A4:D4">
    <cfRule type="expression" dxfId="212" priority="38">
      <formula>$D4&lt;$D2</formula>
    </cfRule>
    <cfRule type="expression" dxfId="211" priority="37">
      <formula>AND($D4=$D2,$A4&lt;$A2)</formula>
    </cfRule>
    <cfRule type="expression" dxfId="210" priority="41">
      <formula>$D4&gt;$D2</formula>
    </cfRule>
  </conditionalFormatting>
  <conditionalFormatting sqref="A6:D6 A10:D10 A14:D14 A18:D18 A22:D22 A26:D26 A30:D30">
    <cfRule type="expression" dxfId="209" priority="11">
      <formula>$D6&lt;$D8</formula>
    </cfRule>
    <cfRule type="expression" dxfId="208" priority="10">
      <formula>AND($D6=$D8,$A6&lt;$A8)</formula>
    </cfRule>
    <cfRule type="expression" dxfId="207" priority="12">
      <formula>$D6&gt;$D8</formula>
    </cfRule>
  </conditionalFormatting>
  <conditionalFormatting sqref="A8:D8 A12:D12 A16:D16 A20:D20 A24:D24 A28:D28 A32:D32">
    <cfRule type="expression" dxfId="206" priority="7">
      <formula>AND($D8=$D6,$A8&lt;$A6)</formula>
    </cfRule>
    <cfRule type="expression" dxfId="205" priority="8">
      <formula>$D8&lt;$D6</formula>
    </cfRule>
    <cfRule type="expression" dxfId="204" priority="9">
      <formula>$D8&gt;$D6</formula>
    </cfRule>
  </conditionalFormatting>
  <conditionalFormatting sqref="F3:I3">
    <cfRule type="expression" dxfId="203" priority="36">
      <formula>$I3&gt;$I7</formula>
    </cfRule>
    <cfRule type="expression" dxfId="202" priority="35">
      <formula>$I3&lt;$I7</formula>
    </cfRule>
    <cfRule type="expression" dxfId="201" priority="34">
      <formula>AND($I3=$I7,$F3&lt;$F7)</formula>
    </cfRule>
  </conditionalFormatting>
  <conditionalFormatting sqref="F7:I7">
    <cfRule type="expression" dxfId="200" priority="30">
      <formula>$I7&gt;$I3</formula>
    </cfRule>
    <cfRule type="expression" dxfId="199" priority="29">
      <formula>$I7&lt;$I3</formula>
    </cfRule>
    <cfRule type="expression" dxfId="198" priority="28">
      <formula>AND($I7=$I3,$F7&lt;$F3)</formula>
    </cfRule>
  </conditionalFormatting>
  <conditionalFormatting sqref="F11:I11 F19:I19 F27:I27">
    <cfRule type="expression" dxfId="197" priority="33">
      <formula>$I11&gt;$I15</formula>
    </cfRule>
    <cfRule type="expression" dxfId="196" priority="31">
      <formula>AND($I11=$I15,$F11&lt;$F15)</formula>
    </cfRule>
    <cfRule type="expression" dxfId="195" priority="32">
      <formula>$I11&lt;$I15</formula>
    </cfRule>
  </conditionalFormatting>
  <conditionalFormatting sqref="F15:I15 F23:I23 F31:I31">
    <cfRule type="expression" dxfId="194" priority="27">
      <formula>$I15&gt;$I11</formula>
    </cfRule>
    <cfRule type="expression" dxfId="193" priority="26">
      <formula>$I15&lt;$I11</formula>
    </cfRule>
    <cfRule type="expression" dxfId="192" priority="25">
      <formula>AND($I15=$I11,$F15&lt;$F11)</formula>
    </cfRule>
  </conditionalFormatting>
  <conditionalFormatting sqref="K5:N5">
    <cfRule type="expression" dxfId="191" priority="22">
      <formula>AND($N5=$N13,$K5&lt;$K13)</formula>
    </cfRule>
    <cfRule type="expression" dxfId="190" priority="23">
      <formula>$N5&lt;$N13</formula>
    </cfRule>
    <cfRule type="expression" dxfId="189" priority="24">
      <formula>$N5&gt;$N13</formula>
    </cfRule>
  </conditionalFormatting>
  <conditionalFormatting sqref="K13:N13">
    <cfRule type="expression" dxfId="188" priority="18">
      <formula>$N13&gt;$N5</formula>
    </cfRule>
    <cfRule type="expression" dxfId="187" priority="16">
      <formula>AND($N13=$N5,$K13&lt;$K5)</formula>
    </cfRule>
    <cfRule type="expression" dxfId="186" priority="17">
      <formula>$N13&lt;$N5</formula>
    </cfRule>
  </conditionalFormatting>
  <conditionalFormatting sqref="K21:N21">
    <cfRule type="expression" dxfId="185" priority="19">
      <formula>AND($N21=$N29,$K21&lt;$K29)</formula>
    </cfRule>
    <cfRule type="expression" dxfId="184" priority="21">
      <formula>$N21&gt;$N29</formula>
    </cfRule>
    <cfRule type="expression" dxfId="183" priority="20">
      <formula>$N21&lt;$N29</formula>
    </cfRule>
  </conditionalFormatting>
  <conditionalFormatting sqref="K29:N29">
    <cfRule type="expression" dxfId="182" priority="15">
      <formula>$N29&gt;$N21</formula>
    </cfRule>
    <cfRule type="expression" dxfId="181" priority="14">
      <formula>$N29&lt;$N21</formula>
    </cfRule>
    <cfRule type="expression" dxfId="180" priority="13">
      <formula>AND($N29=$N21,$K29&lt;$K21)</formula>
    </cfRule>
  </conditionalFormatting>
  <conditionalFormatting sqref="P9:S9">
    <cfRule type="expression" dxfId="179" priority="5">
      <formula>$S9&lt;$S25</formula>
    </cfRule>
    <cfRule type="expression" dxfId="178" priority="4">
      <formula>AND($S9=$S25,$P9&lt;$P25)</formula>
    </cfRule>
    <cfRule type="expression" dxfId="177" priority="6">
      <formula>$S9&gt;$S25</formula>
    </cfRule>
  </conditionalFormatting>
  <conditionalFormatting sqref="P25:S25">
    <cfRule type="expression" dxfId="176" priority="1">
      <formula>AND($S25=$S9,$P25&lt;$P9)</formula>
    </cfRule>
    <cfRule type="expression" dxfId="175" priority="3">
      <formula>$S25&gt;$S9</formula>
    </cfRule>
    <cfRule type="expression" dxfId="174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5C44F-AE32-4132-800C-25F60546F6E9}">
  <dimension ref="A1:AO27"/>
  <sheetViews>
    <sheetView workbookViewId="0">
      <selection activeCell="B33" sqref="B33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8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 t="e">
        <f>VLOOKUP('Round 8'!$A3,INDEX(Entry!$E$2:$U$23,1,'Round 8'!$A$1*2-1):'Entry'!$U$33,18-$A$1*2,0)</f>
        <v>#N/A</v>
      </c>
      <c r="C3" t="e">
        <f>VLOOKUP('Round 8'!$A3,INDEX(Entry!$E$2:$U$23,1,'Round 8'!$A$1*2-1):'Entry'!$U$33,19-$A$1*2,0)</f>
        <v>#N/A</v>
      </c>
      <c r="H3">
        <f>ROUND(IFERROR(AVERAGE(E3:G3),0),2)</f>
        <v>0</v>
      </c>
      <c r="L3">
        <f t="shared" ref="L3:L27" si="0">ROUND(IFERROR(AVERAGE(I3:K3),0),2)</f>
        <v>0</v>
      </c>
      <c r="M3">
        <f>MAX(H3:L3)</f>
        <v>0</v>
      </c>
      <c r="N3">
        <f>IF(H3=M3,L3,H3)</f>
        <v>0</v>
      </c>
      <c r="O3">
        <f>IFERROR(M3+N3/1000+((1000-B3)/1000000),0)</f>
        <v>0</v>
      </c>
      <c r="P3">
        <f>RANK(O3,$O$3:$O$27,0)</f>
        <v>1</v>
      </c>
      <c r="R3" t="e">
        <f>B3</f>
        <v>#N/A</v>
      </c>
      <c r="S3" t="e">
        <f>C3</f>
        <v>#N/A</v>
      </c>
      <c r="T3">
        <f>Table27111519232731[[#This Row],[Max]]</f>
        <v>0</v>
      </c>
      <c r="U3">
        <f>Table27111519232731[[#This Row],[Min]]</f>
        <v>0</v>
      </c>
      <c r="X3" t="e">
        <f>Table16101418222630[[#This Row],[Column1]]</f>
        <v>#N/A</v>
      </c>
      <c r="Y3">
        <v>1</v>
      </c>
      <c r="Z3" t="e">
        <f t="shared" ref="Z3:Z27" si="1">VLOOKUP(Y3,$P$3:$U$27,3,0)</f>
        <v>#N/A</v>
      </c>
      <c r="AA3" t="e">
        <f t="shared" ref="AA3:AA27" si="2">VLOOKUP(Y3,$P$3:$U$27,4,0)</f>
        <v>#N/A</v>
      </c>
      <c r="AB3">
        <f t="shared" ref="AB3:AB27" si="3">VLOOKUP(Y3,$P$3:$U$27,5,0)</f>
        <v>0</v>
      </c>
      <c r="AC3">
        <f t="shared" ref="AC3:AC27" si="4">VLOOKUP(Y3,$P$3:$U$27,6,0)</f>
        <v>0</v>
      </c>
      <c r="AD3" t="e">
        <f>VLOOKUP(Table16101418222630[[#This Row],['#]],Table27111519232731[['#]:[Drop]],16,0)</f>
        <v>#N/A</v>
      </c>
      <c r="AE3">
        <f>COUNTIF($AD$3:AD3,"X")</f>
        <v>0</v>
      </c>
      <c r="AF3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3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3">
        <v>1</v>
      </c>
      <c r="AJ3" t="e">
        <f>VLOOKUP(AI3,$X$3:$AA$27,3,0)</f>
        <v>#N/A</v>
      </c>
      <c r="AK3" t="e">
        <f>VLOOKUP(AI3,$X$3:$AA$27,4,0)</f>
        <v>#N/A</v>
      </c>
      <c r="AM3" s="1">
        <v>1</v>
      </c>
      <c r="AN3" s="1" t="e">
        <f>VLOOKUP(AM3,$AI$3:$AL$18,2,0)</f>
        <v>#N/A</v>
      </c>
      <c r="AO3" s="1" t="e">
        <f>VLOOKUP(AM3,$AI$3:$AL$18,3,0)</f>
        <v>#N/A</v>
      </c>
    </row>
    <row r="4" spans="1:41" x14ac:dyDescent="0.3">
      <c r="A4">
        <v>2</v>
      </c>
      <c r="B4" t="e">
        <f>VLOOKUP('Round 8'!$A4,INDEX(Entry!$E$2:$U$23,1,'Round 8'!$A$1*2-1):'Entry'!$U$33,18-$A$1*2,0)</f>
        <v>#N/A</v>
      </c>
      <c r="C4" t="e">
        <f>VLOOKUP('Round 8'!$A4,INDEX(Entry!$E$2:$U$23,1,'Round 8'!$A$1*2-1):'Entry'!$U$33,19-$A$1*2,0)</f>
        <v>#N/A</v>
      </c>
      <c r="H4">
        <f t="shared" ref="H4:H27" si="5">ROUND(IFERROR(AVERAGE(E4:G4),0),2)</f>
        <v>0</v>
      </c>
      <c r="L4">
        <f t="shared" si="0"/>
        <v>0</v>
      </c>
      <c r="M4">
        <f t="shared" ref="M4:M27" si="6">MAX(H4:L4)</f>
        <v>0</v>
      </c>
      <c r="N4">
        <f t="shared" ref="N4:N27" si="7">IF(H4=M4,L4,H4)</f>
        <v>0</v>
      </c>
      <c r="O4">
        <f t="shared" ref="O4:O27" si="8">IFERROR(M4+N4/1000+((1000-B4)/1000000),0)</f>
        <v>0</v>
      </c>
      <c r="P4">
        <f t="shared" ref="P4:P27" si="9">RANK(O4,$O$3:$O$27,0)</f>
        <v>1</v>
      </c>
      <c r="R4" t="e">
        <f t="shared" ref="R4:S27" si="10">B4</f>
        <v>#N/A</v>
      </c>
      <c r="S4" t="e">
        <f t="shared" si="10"/>
        <v>#N/A</v>
      </c>
      <c r="T4">
        <f>Table27111519232731[[#This Row],[Max]]</f>
        <v>0</v>
      </c>
      <c r="U4">
        <f>Table27111519232731[[#This Row],[Min]]</f>
        <v>0</v>
      </c>
      <c r="X4" t="e">
        <f>Table16101418222630[[#This Row],[Column1]]</f>
        <v>#N/A</v>
      </c>
      <c r="Y4">
        <v>2</v>
      </c>
      <c r="Z4" t="e">
        <f t="shared" si="1"/>
        <v>#N/A</v>
      </c>
      <c r="AA4" t="e">
        <f t="shared" si="2"/>
        <v>#N/A</v>
      </c>
      <c r="AB4" t="e">
        <f t="shared" si="3"/>
        <v>#N/A</v>
      </c>
      <c r="AC4" t="e">
        <f t="shared" si="4"/>
        <v>#N/A</v>
      </c>
      <c r="AD4" t="e">
        <f>VLOOKUP(Table16101418222630[[#This Row],['#]],Table27111519232731[['#]:[Drop]],16,0)</f>
        <v>#N/A</v>
      </c>
      <c r="AE4">
        <f>COUNTIF($AD$3:AD4,"X")</f>
        <v>0</v>
      </c>
      <c r="AF4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4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4">
        <v>2</v>
      </c>
      <c r="AJ4" t="e">
        <f t="shared" ref="AJ4:AJ18" si="11">VLOOKUP(AI4,$X$3:$AA$27,3,0)</f>
        <v>#N/A</v>
      </c>
      <c r="AK4" t="e">
        <f t="shared" ref="AK4:AK18" si="12">VLOOKUP(AI4,$X$3:$AA$27,4,0)</f>
        <v>#N/A</v>
      </c>
      <c r="AM4" s="1">
        <v>16</v>
      </c>
      <c r="AN4" s="1" t="e">
        <f>VLOOKUP(AM4,$AI$3:$AL$18,2,0)</f>
        <v>#N/A</v>
      </c>
      <c r="AO4" s="1" t="e">
        <f>VLOOKUP(AM4,$AI$3:$AL$18,3,0)</f>
        <v>#N/A</v>
      </c>
    </row>
    <row r="5" spans="1:41" x14ac:dyDescent="0.3">
      <c r="A5">
        <v>3</v>
      </c>
      <c r="B5" t="e">
        <f>VLOOKUP('Round 8'!$A5,INDEX(Entry!$E$2:$U$23,1,'Round 8'!$A$1*2-1):'Entry'!$U$33,18-$A$1*2,0)</f>
        <v>#N/A</v>
      </c>
      <c r="C5" t="e">
        <f>VLOOKUP('Round 8'!$A5,INDEX(Entry!$E$2:$U$23,1,'Round 8'!$A$1*2-1):'Entry'!$U$33,19-$A$1*2,0)</f>
        <v>#N/A</v>
      </c>
      <c r="H5">
        <f t="shared" si="5"/>
        <v>0</v>
      </c>
      <c r="L5">
        <f t="shared" si="0"/>
        <v>0</v>
      </c>
      <c r="M5">
        <f t="shared" si="6"/>
        <v>0</v>
      </c>
      <c r="N5">
        <f t="shared" si="7"/>
        <v>0</v>
      </c>
      <c r="O5">
        <f t="shared" si="8"/>
        <v>0</v>
      </c>
      <c r="P5">
        <f t="shared" si="9"/>
        <v>1</v>
      </c>
      <c r="R5" t="e">
        <f t="shared" si="10"/>
        <v>#N/A</v>
      </c>
      <c r="S5" t="e">
        <f t="shared" si="10"/>
        <v>#N/A</v>
      </c>
      <c r="T5">
        <f>Table27111519232731[[#This Row],[Max]]</f>
        <v>0</v>
      </c>
      <c r="U5">
        <f>Table27111519232731[[#This Row],[Min]]</f>
        <v>0</v>
      </c>
      <c r="X5" t="e">
        <f>Table16101418222630[[#This Row],[Column1]]</f>
        <v>#N/A</v>
      </c>
      <c r="Y5">
        <v>3</v>
      </c>
      <c r="Z5" t="e">
        <f t="shared" si="1"/>
        <v>#N/A</v>
      </c>
      <c r="AA5" t="e">
        <f t="shared" si="2"/>
        <v>#N/A</v>
      </c>
      <c r="AB5" t="e">
        <f t="shared" si="3"/>
        <v>#N/A</v>
      </c>
      <c r="AC5" t="e">
        <f t="shared" si="4"/>
        <v>#N/A</v>
      </c>
      <c r="AD5" t="e">
        <f>VLOOKUP(Table16101418222630[[#This Row],['#]],Table27111519232731[['#]:[Drop]],16,0)</f>
        <v>#N/A</v>
      </c>
      <c r="AE5">
        <f>COUNTIF($AD$3:AD5,"X")</f>
        <v>0</v>
      </c>
      <c r="AF5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5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5">
        <v>3</v>
      </c>
      <c r="AJ5" t="e">
        <f t="shared" si="11"/>
        <v>#N/A</v>
      </c>
      <c r="AK5" t="e">
        <f t="shared" si="12"/>
        <v>#N/A</v>
      </c>
    </row>
    <row r="6" spans="1:41" x14ac:dyDescent="0.3">
      <c r="A6">
        <v>4</v>
      </c>
      <c r="B6" t="e">
        <f>VLOOKUP('Round 8'!$A6,INDEX(Entry!$E$2:$U$23,1,'Round 8'!$A$1*2-1):'Entry'!$U$33,18-$A$1*2,0)</f>
        <v>#N/A</v>
      </c>
      <c r="C6" t="e">
        <f>VLOOKUP('Round 8'!$A6,INDEX(Entry!$E$2:$U$23,1,'Round 8'!$A$1*2-1):'Entry'!$U$33,19-$A$1*2,0)</f>
        <v>#N/A</v>
      </c>
      <c r="H6">
        <f t="shared" si="5"/>
        <v>0</v>
      </c>
      <c r="L6">
        <f t="shared" si="0"/>
        <v>0</v>
      </c>
      <c r="M6">
        <f t="shared" si="6"/>
        <v>0</v>
      </c>
      <c r="N6">
        <f t="shared" si="7"/>
        <v>0</v>
      </c>
      <c r="O6">
        <f t="shared" si="8"/>
        <v>0</v>
      </c>
      <c r="P6">
        <f t="shared" si="9"/>
        <v>1</v>
      </c>
      <c r="R6" t="e">
        <f t="shared" si="10"/>
        <v>#N/A</v>
      </c>
      <c r="S6" t="e">
        <f t="shared" si="10"/>
        <v>#N/A</v>
      </c>
      <c r="T6">
        <f>Table27111519232731[[#This Row],[Max]]</f>
        <v>0</v>
      </c>
      <c r="U6">
        <f>Table27111519232731[[#This Row],[Min]]</f>
        <v>0</v>
      </c>
      <c r="X6" t="e">
        <f>Table16101418222630[[#This Row],[Column1]]</f>
        <v>#N/A</v>
      </c>
      <c r="Y6">
        <v>4</v>
      </c>
      <c r="Z6" t="e">
        <f t="shared" si="1"/>
        <v>#N/A</v>
      </c>
      <c r="AA6" t="e">
        <f t="shared" si="2"/>
        <v>#N/A</v>
      </c>
      <c r="AB6" t="e">
        <f t="shared" si="3"/>
        <v>#N/A</v>
      </c>
      <c r="AC6" t="e">
        <f t="shared" si="4"/>
        <v>#N/A</v>
      </c>
      <c r="AD6" t="e">
        <f>VLOOKUP(Table16101418222630[[#This Row],['#]],Table27111519232731[['#]:[Drop]],16,0)</f>
        <v>#N/A</v>
      </c>
      <c r="AE6">
        <f>COUNTIF($AD$3:AD6,"X")</f>
        <v>0</v>
      </c>
      <c r="AF6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6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6">
        <v>4</v>
      </c>
      <c r="AJ6" t="e">
        <f t="shared" si="11"/>
        <v>#N/A</v>
      </c>
      <c r="AK6" t="e">
        <f t="shared" si="12"/>
        <v>#N/A</v>
      </c>
      <c r="AM6" s="1">
        <v>8</v>
      </c>
      <c r="AN6" s="1" t="e">
        <f>VLOOKUP(AM6,$AI$3:$AL$18,2,0)</f>
        <v>#N/A</v>
      </c>
      <c r="AO6" s="1" t="e">
        <f>VLOOKUP(AM6,$AI$3:$AL$18,3,0)</f>
        <v>#N/A</v>
      </c>
    </row>
    <row r="7" spans="1:41" x14ac:dyDescent="0.3">
      <c r="A7">
        <v>5</v>
      </c>
      <c r="B7" t="e">
        <f>VLOOKUP('Round 8'!$A7,INDEX(Entry!$E$2:$U$23,1,'Round 8'!$A$1*2-1):'Entry'!$U$33,18-$A$1*2,0)</f>
        <v>#N/A</v>
      </c>
      <c r="C7" t="e">
        <f>VLOOKUP('Round 8'!$A7,INDEX(Entry!$E$2:$U$23,1,'Round 8'!$A$1*2-1):'Entry'!$U$33,19-$A$1*2,0)</f>
        <v>#N/A</v>
      </c>
      <c r="H7">
        <f t="shared" si="5"/>
        <v>0</v>
      </c>
      <c r="L7">
        <f t="shared" si="0"/>
        <v>0</v>
      </c>
      <c r="M7">
        <f t="shared" si="6"/>
        <v>0</v>
      </c>
      <c r="N7">
        <f t="shared" si="7"/>
        <v>0</v>
      </c>
      <c r="O7">
        <f t="shared" si="8"/>
        <v>0</v>
      </c>
      <c r="P7">
        <f t="shared" si="9"/>
        <v>1</v>
      </c>
      <c r="R7" t="e">
        <f t="shared" si="10"/>
        <v>#N/A</v>
      </c>
      <c r="S7" t="e">
        <f t="shared" si="10"/>
        <v>#N/A</v>
      </c>
      <c r="T7">
        <f>Table27111519232731[[#This Row],[Max]]</f>
        <v>0</v>
      </c>
      <c r="U7">
        <f>Table27111519232731[[#This Row],[Min]]</f>
        <v>0</v>
      </c>
      <c r="X7" t="e">
        <f>Table16101418222630[[#This Row],[Column1]]</f>
        <v>#N/A</v>
      </c>
      <c r="Y7">
        <v>5</v>
      </c>
      <c r="Z7" t="e">
        <f t="shared" si="1"/>
        <v>#N/A</v>
      </c>
      <c r="AA7" t="e">
        <f t="shared" si="2"/>
        <v>#N/A</v>
      </c>
      <c r="AB7" t="e">
        <f t="shared" si="3"/>
        <v>#N/A</v>
      </c>
      <c r="AC7" t="e">
        <f t="shared" si="4"/>
        <v>#N/A</v>
      </c>
      <c r="AD7" t="e">
        <f>VLOOKUP(Table16101418222630[[#This Row],['#]],Table27111519232731[['#]:[Drop]],16,0)</f>
        <v>#N/A</v>
      </c>
      <c r="AE7">
        <f>COUNTIF($AD$3:AD7,"X")</f>
        <v>0</v>
      </c>
      <c r="AF7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7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7">
        <v>5</v>
      </c>
      <c r="AJ7" t="e">
        <f t="shared" si="11"/>
        <v>#N/A</v>
      </c>
      <c r="AK7" t="e">
        <f t="shared" si="12"/>
        <v>#N/A</v>
      </c>
      <c r="AM7" s="1">
        <v>9</v>
      </c>
      <c r="AN7" s="1" t="e">
        <f>VLOOKUP(AM7,$AI$3:$AL$18,2,0)</f>
        <v>#N/A</v>
      </c>
      <c r="AO7" s="1" t="e">
        <f>VLOOKUP(AM7,$AI$3:$AL$18,3,0)</f>
        <v>#N/A</v>
      </c>
    </row>
    <row r="8" spans="1:41" x14ac:dyDescent="0.3">
      <c r="A8">
        <v>6</v>
      </c>
      <c r="B8" t="e">
        <f>VLOOKUP('Round 8'!$A8,INDEX(Entry!$E$2:$U$23,1,'Round 8'!$A$1*2-1):'Entry'!$U$33,18-$A$1*2,0)</f>
        <v>#N/A</v>
      </c>
      <c r="C8" t="e">
        <f>VLOOKUP('Round 8'!$A8,INDEX(Entry!$E$2:$U$23,1,'Round 8'!$A$1*2-1):'Entry'!$U$33,19-$A$1*2,0)</f>
        <v>#N/A</v>
      </c>
      <c r="H8">
        <f t="shared" si="5"/>
        <v>0</v>
      </c>
      <c r="L8">
        <f t="shared" si="0"/>
        <v>0</v>
      </c>
      <c r="M8">
        <f t="shared" si="6"/>
        <v>0</v>
      </c>
      <c r="N8">
        <f t="shared" si="7"/>
        <v>0</v>
      </c>
      <c r="O8">
        <f t="shared" si="8"/>
        <v>0</v>
      </c>
      <c r="P8">
        <f t="shared" si="9"/>
        <v>1</v>
      </c>
      <c r="R8" t="e">
        <f t="shared" si="10"/>
        <v>#N/A</v>
      </c>
      <c r="S8" t="e">
        <f t="shared" si="10"/>
        <v>#N/A</v>
      </c>
      <c r="T8">
        <f>Table27111519232731[[#This Row],[Max]]</f>
        <v>0</v>
      </c>
      <c r="U8">
        <f>Table27111519232731[[#This Row],[Min]]</f>
        <v>0</v>
      </c>
      <c r="X8" t="e">
        <f>Table16101418222630[[#This Row],[Column1]]</f>
        <v>#N/A</v>
      </c>
      <c r="Y8">
        <v>6</v>
      </c>
      <c r="Z8" t="e">
        <f t="shared" si="1"/>
        <v>#N/A</v>
      </c>
      <c r="AA8" t="e">
        <f t="shared" si="2"/>
        <v>#N/A</v>
      </c>
      <c r="AB8" t="e">
        <f t="shared" si="3"/>
        <v>#N/A</v>
      </c>
      <c r="AC8" t="e">
        <f t="shared" si="4"/>
        <v>#N/A</v>
      </c>
      <c r="AD8" t="e">
        <f>VLOOKUP(Table16101418222630[[#This Row],['#]],Table27111519232731[['#]:[Drop]],16,0)</f>
        <v>#N/A</v>
      </c>
      <c r="AE8">
        <f>COUNTIF($AD$3:AD8,"X")</f>
        <v>0</v>
      </c>
      <c r="AF8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8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8">
        <v>6</v>
      </c>
      <c r="AJ8" t="e">
        <f t="shared" si="11"/>
        <v>#N/A</v>
      </c>
      <c r="AK8" t="e">
        <f t="shared" si="12"/>
        <v>#N/A</v>
      </c>
    </row>
    <row r="9" spans="1:41" x14ac:dyDescent="0.3">
      <c r="A9">
        <v>7</v>
      </c>
      <c r="B9" t="e">
        <f>VLOOKUP('Round 8'!$A9,INDEX(Entry!$E$2:$U$23,1,'Round 8'!$A$1*2-1):'Entry'!$U$33,18-$A$1*2,0)</f>
        <v>#N/A</v>
      </c>
      <c r="C9" t="e">
        <f>VLOOKUP('Round 8'!$A9,INDEX(Entry!$E$2:$U$23,1,'Round 8'!$A$1*2-1):'Entry'!$U$33,19-$A$1*2,0)</f>
        <v>#N/A</v>
      </c>
      <c r="H9">
        <f t="shared" si="5"/>
        <v>0</v>
      </c>
      <c r="L9">
        <f t="shared" si="0"/>
        <v>0</v>
      </c>
      <c r="M9">
        <f t="shared" si="6"/>
        <v>0</v>
      </c>
      <c r="N9">
        <f t="shared" si="7"/>
        <v>0</v>
      </c>
      <c r="O9">
        <f t="shared" si="8"/>
        <v>0</v>
      </c>
      <c r="P9">
        <f t="shared" si="9"/>
        <v>1</v>
      </c>
      <c r="R9" t="e">
        <f t="shared" si="10"/>
        <v>#N/A</v>
      </c>
      <c r="S9" t="e">
        <f t="shared" si="10"/>
        <v>#N/A</v>
      </c>
      <c r="T9">
        <f>Table27111519232731[[#This Row],[Max]]</f>
        <v>0</v>
      </c>
      <c r="U9">
        <f>Table27111519232731[[#This Row],[Min]]</f>
        <v>0</v>
      </c>
      <c r="X9" t="e">
        <f>Table16101418222630[[#This Row],[Column1]]</f>
        <v>#N/A</v>
      </c>
      <c r="Y9">
        <v>7</v>
      </c>
      <c r="Z9" t="e">
        <f t="shared" si="1"/>
        <v>#N/A</v>
      </c>
      <c r="AA9" t="e">
        <f t="shared" si="2"/>
        <v>#N/A</v>
      </c>
      <c r="AB9" t="e">
        <f t="shared" si="3"/>
        <v>#N/A</v>
      </c>
      <c r="AC9" t="e">
        <f t="shared" si="4"/>
        <v>#N/A</v>
      </c>
      <c r="AD9" t="e">
        <f>VLOOKUP(Table16101418222630[[#This Row],['#]],Table27111519232731[['#]:[Drop]],16,0)</f>
        <v>#N/A</v>
      </c>
      <c r="AE9">
        <f>COUNTIF($AD$3:AD9,"X")</f>
        <v>0</v>
      </c>
      <c r="AF9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9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9">
        <v>7</v>
      </c>
      <c r="AJ9" t="e">
        <f t="shared" si="11"/>
        <v>#N/A</v>
      </c>
      <c r="AK9" t="e">
        <f t="shared" si="12"/>
        <v>#N/A</v>
      </c>
      <c r="AM9" s="1">
        <v>4</v>
      </c>
      <c r="AN9" s="1" t="e">
        <f>VLOOKUP(AM9,$AI$3:$AL$18,2,0)</f>
        <v>#N/A</v>
      </c>
      <c r="AO9" s="1" t="e">
        <f>VLOOKUP(AM9,$AI$3:$AL$18,3,0)</f>
        <v>#N/A</v>
      </c>
    </row>
    <row r="10" spans="1:41" x14ac:dyDescent="0.3">
      <c r="A10">
        <v>8</v>
      </c>
      <c r="B10" t="e">
        <f>VLOOKUP('Round 8'!$A10,INDEX(Entry!$E$2:$U$23,1,'Round 8'!$A$1*2-1):'Entry'!$U$33,18-$A$1*2,0)</f>
        <v>#N/A</v>
      </c>
      <c r="C10" t="e">
        <f>VLOOKUP('Round 8'!$A10,INDEX(Entry!$E$2:$U$23,1,'Round 8'!$A$1*2-1):'Entry'!$U$33,19-$A$1*2,0)</f>
        <v>#N/A</v>
      </c>
      <c r="H10">
        <f t="shared" si="5"/>
        <v>0</v>
      </c>
      <c r="L10">
        <f t="shared" si="0"/>
        <v>0</v>
      </c>
      <c r="M10">
        <f t="shared" si="6"/>
        <v>0</v>
      </c>
      <c r="N10">
        <f t="shared" si="7"/>
        <v>0</v>
      </c>
      <c r="O10">
        <f t="shared" si="8"/>
        <v>0</v>
      </c>
      <c r="P10">
        <f t="shared" si="9"/>
        <v>1</v>
      </c>
      <c r="R10" t="e">
        <f t="shared" si="10"/>
        <v>#N/A</v>
      </c>
      <c r="S10" t="e">
        <f t="shared" si="10"/>
        <v>#N/A</v>
      </c>
      <c r="T10">
        <f>Table27111519232731[[#This Row],[Max]]</f>
        <v>0</v>
      </c>
      <c r="U10">
        <f>Table27111519232731[[#This Row],[Min]]</f>
        <v>0</v>
      </c>
      <c r="X10" t="e">
        <f>Table16101418222630[[#This Row],[Column1]]</f>
        <v>#N/A</v>
      </c>
      <c r="Y10">
        <v>8</v>
      </c>
      <c r="Z10" t="e">
        <f t="shared" si="1"/>
        <v>#N/A</v>
      </c>
      <c r="AA10" t="e">
        <f t="shared" si="2"/>
        <v>#N/A</v>
      </c>
      <c r="AB10" t="e">
        <f t="shared" si="3"/>
        <v>#N/A</v>
      </c>
      <c r="AC10" t="e">
        <f t="shared" si="4"/>
        <v>#N/A</v>
      </c>
      <c r="AD10" t="e">
        <f>VLOOKUP(Table16101418222630[[#This Row],['#]],Table27111519232731[['#]:[Drop]],16,0)</f>
        <v>#N/A</v>
      </c>
      <c r="AE10">
        <f>COUNTIF($AD$3:AD10,"X")</f>
        <v>0</v>
      </c>
      <c r="AF10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0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0">
        <v>8</v>
      </c>
      <c r="AJ10" t="e">
        <f t="shared" si="11"/>
        <v>#N/A</v>
      </c>
      <c r="AK10" t="e">
        <f t="shared" si="12"/>
        <v>#N/A</v>
      </c>
      <c r="AM10" s="1">
        <v>13</v>
      </c>
      <c r="AN10" s="1" t="e">
        <f>VLOOKUP(AM10,$AI$3:$AL$18,2,0)</f>
        <v>#N/A</v>
      </c>
      <c r="AO10" s="1" t="e">
        <f>VLOOKUP(AM10,$AI$3:$AL$18,3,0)</f>
        <v>#N/A</v>
      </c>
    </row>
    <row r="11" spans="1:41" x14ac:dyDescent="0.3">
      <c r="A11">
        <v>9</v>
      </c>
      <c r="B11" t="e">
        <f>VLOOKUP('Round 8'!$A11,INDEX(Entry!$E$2:$U$23,1,'Round 8'!$A$1*2-1):'Entry'!$U$33,18-$A$1*2,0)</f>
        <v>#N/A</v>
      </c>
      <c r="C11" t="e">
        <f>VLOOKUP('Round 8'!$A11,INDEX(Entry!$E$2:$U$23,1,'Round 8'!$A$1*2-1):'Entry'!$U$33,19-$A$1*2,0)</f>
        <v>#N/A</v>
      </c>
      <c r="H11">
        <f t="shared" si="5"/>
        <v>0</v>
      </c>
      <c r="L11">
        <f t="shared" si="0"/>
        <v>0</v>
      </c>
      <c r="M11">
        <f t="shared" si="6"/>
        <v>0</v>
      </c>
      <c r="N11">
        <f t="shared" si="7"/>
        <v>0</v>
      </c>
      <c r="O11">
        <f t="shared" si="8"/>
        <v>0</v>
      </c>
      <c r="P11">
        <f t="shared" si="9"/>
        <v>1</v>
      </c>
      <c r="R11" t="e">
        <f t="shared" si="10"/>
        <v>#N/A</v>
      </c>
      <c r="S11" t="e">
        <f t="shared" si="10"/>
        <v>#N/A</v>
      </c>
      <c r="T11">
        <f>Table27111519232731[[#This Row],[Max]]</f>
        <v>0</v>
      </c>
      <c r="U11">
        <f>Table27111519232731[[#This Row],[Min]]</f>
        <v>0</v>
      </c>
      <c r="X11" t="e">
        <f>Table16101418222630[[#This Row],[Column1]]</f>
        <v>#N/A</v>
      </c>
      <c r="Y11">
        <v>9</v>
      </c>
      <c r="Z11" t="e">
        <f t="shared" si="1"/>
        <v>#N/A</v>
      </c>
      <c r="AA11" t="e">
        <f t="shared" si="2"/>
        <v>#N/A</v>
      </c>
      <c r="AB11" t="e">
        <f t="shared" si="3"/>
        <v>#N/A</v>
      </c>
      <c r="AC11" t="e">
        <f t="shared" si="4"/>
        <v>#N/A</v>
      </c>
      <c r="AD11" t="e">
        <f>VLOOKUP(Table16101418222630[[#This Row],['#]],Table27111519232731[['#]:[Drop]],16,0)</f>
        <v>#N/A</v>
      </c>
      <c r="AE11">
        <f>COUNTIF($AD$3:AD11,"X")</f>
        <v>0</v>
      </c>
      <c r="AF11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1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1">
        <v>9</v>
      </c>
      <c r="AJ11" t="e">
        <f t="shared" si="11"/>
        <v>#N/A</v>
      </c>
      <c r="AK11" t="e">
        <f t="shared" si="12"/>
        <v>#N/A</v>
      </c>
    </row>
    <row r="12" spans="1:41" x14ac:dyDescent="0.3">
      <c r="A12">
        <v>10</v>
      </c>
      <c r="B12" t="e">
        <f>VLOOKUP('Round 8'!$A12,INDEX(Entry!$E$2:$U$23,1,'Round 8'!$A$1*2-1):'Entry'!$U$33,18-$A$1*2,0)</f>
        <v>#N/A</v>
      </c>
      <c r="C12" t="e">
        <f>VLOOKUP('Round 8'!$A12,INDEX(Entry!$E$2:$U$23,1,'Round 8'!$A$1*2-1):'Entry'!$U$33,19-$A$1*2,0)</f>
        <v>#N/A</v>
      </c>
      <c r="H12">
        <f t="shared" si="5"/>
        <v>0</v>
      </c>
      <c r="L12">
        <f t="shared" si="0"/>
        <v>0</v>
      </c>
      <c r="M12">
        <f t="shared" si="6"/>
        <v>0</v>
      </c>
      <c r="N12">
        <f t="shared" si="7"/>
        <v>0</v>
      </c>
      <c r="O12">
        <f t="shared" si="8"/>
        <v>0</v>
      </c>
      <c r="P12">
        <f t="shared" si="9"/>
        <v>1</v>
      </c>
      <c r="R12" t="e">
        <f t="shared" si="10"/>
        <v>#N/A</v>
      </c>
      <c r="S12" t="e">
        <f t="shared" si="10"/>
        <v>#N/A</v>
      </c>
      <c r="T12">
        <f>Table27111519232731[[#This Row],[Max]]</f>
        <v>0</v>
      </c>
      <c r="U12">
        <f>Table27111519232731[[#This Row],[Min]]</f>
        <v>0</v>
      </c>
      <c r="X12" t="e">
        <f>Table16101418222630[[#This Row],[Column1]]</f>
        <v>#N/A</v>
      </c>
      <c r="Y12">
        <v>10</v>
      </c>
      <c r="Z12" t="e">
        <f t="shared" si="1"/>
        <v>#N/A</v>
      </c>
      <c r="AA12" t="e">
        <f t="shared" si="2"/>
        <v>#N/A</v>
      </c>
      <c r="AB12" t="e">
        <f t="shared" si="3"/>
        <v>#N/A</v>
      </c>
      <c r="AC12" t="e">
        <f t="shared" si="4"/>
        <v>#N/A</v>
      </c>
      <c r="AD12" t="e">
        <f>VLOOKUP(Table16101418222630[[#This Row],['#]],Table27111519232731[['#]:[Drop]],16,0)</f>
        <v>#N/A</v>
      </c>
      <c r="AE12">
        <f>COUNTIF($AD$3:AD12,"X")</f>
        <v>0</v>
      </c>
      <c r="AF12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2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2">
        <v>10</v>
      </c>
      <c r="AJ12" t="e">
        <f t="shared" si="11"/>
        <v>#N/A</v>
      </c>
      <c r="AK12" t="e">
        <f t="shared" si="12"/>
        <v>#N/A</v>
      </c>
      <c r="AM12" s="1">
        <v>5</v>
      </c>
      <c r="AN12" s="1" t="e">
        <f>VLOOKUP(AM12,$AI$3:$AL$18,2,0)</f>
        <v>#N/A</v>
      </c>
      <c r="AO12" s="1" t="e">
        <f>VLOOKUP(AM12,$AI$3:$AL$18,3,0)</f>
        <v>#N/A</v>
      </c>
    </row>
    <row r="13" spans="1:41" x14ac:dyDescent="0.3">
      <c r="A13">
        <v>11</v>
      </c>
      <c r="B13" t="e">
        <f>VLOOKUP('Round 8'!$A13,INDEX(Entry!$E$2:$U$23,1,'Round 8'!$A$1*2-1):'Entry'!$U$33,18-$A$1*2,0)</f>
        <v>#N/A</v>
      </c>
      <c r="C13" t="e">
        <f>VLOOKUP('Round 8'!$A13,INDEX(Entry!$E$2:$U$23,1,'Round 8'!$A$1*2-1):'Entry'!$U$33,19-$A$1*2,0)</f>
        <v>#N/A</v>
      </c>
      <c r="H13">
        <f t="shared" si="5"/>
        <v>0</v>
      </c>
      <c r="L13">
        <f t="shared" si="0"/>
        <v>0</v>
      </c>
      <c r="M13">
        <f t="shared" si="6"/>
        <v>0</v>
      </c>
      <c r="N13">
        <f t="shared" si="7"/>
        <v>0</v>
      </c>
      <c r="O13">
        <f t="shared" si="8"/>
        <v>0</v>
      </c>
      <c r="P13">
        <f t="shared" si="9"/>
        <v>1</v>
      </c>
      <c r="R13" t="e">
        <f t="shared" si="10"/>
        <v>#N/A</v>
      </c>
      <c r="S13" t="e">
        <f t="shared" si="10"/>
        <v>#N/A</v>
      </c>
      <c r="T13">
        <f>Table27111519232731[[#This Row],[Max]]</f>
        <v>0</v>
      </c>
      <c r="U13">
        <f>Table27111519232731[[#This Row],[Min]]</f>
        <v>0</v>
      </c>
      <c r="X13" t="e">
        <f>Table16101418222630[[#This Row],[Column1]]</f>
        <v>#N/A</v>
      </c>
      <c r="Y13">
        <v>11</v>
      </c>
      <c r="Z13" t="e">
        <f t="shared" si="1"/>
        <v>#N/A</v>
      </c>
      <c r="AA13" t="e">
        <f t="shared" si="2"/>
        <v>#N/A</v>
      </c>
      <c r="AB13" t="e">
        <f t="shared" si="3"/>
        <v>#N/A</v>
      </c>
      <c r="AC13" t="e">
        <f t="shared" si="4"/>
        <v>#N/A</v>
      </c>
      <c r="AD13" t="e">
        <f>VLOOKUP(Table16101418222630[[#This Row],['#]],Table27111519232731[['#]:[Drop]],16,0)</f>
        <v>#N/A</v>
      </c>
      <c r="AE13">
        <f>COUNTIF($AD$3:AD13,"X")</f>
        <v>0</v>
      </c>
      <c r="AF13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3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3">
        <v>11</v>
      </c>
      <c r="AJ13" t="e">
        <f t="shared" si="11"/>
        <v>#N/A</v>
      </c>
      <c r="AK13" t="e">
        <f t="shared" si="12"/>
        <v>#N/A</v>
      </c>
      <c r="AM13" s="1">
        <v>12</v>
      </c>
      <c r="AN13" s="1" t="e">
        <f>VLOOKUP(AM13,$AI$3:$AL$18,2,0)</f>
        <v>#N/A</v>
      </c>
      <c r="AO13" s="1" t="e">
        <f>VLOOKUP(AM13,$AI$3:$AL$18,3,0)</f>
        <v>#N/A</v>
      </c>
    </row>
    <row r="14" spans="1:41" x14ac:dyDescent="0.3">
      <c r="A14">
        <v>12</v>
      </c>
      <c r="B14" t="e">
        <f>VLOOKUP('Round 8'!$A14,INDEX(Entry!$E$2:$U$23,1,'Round 8'!$A$1*2-1):'Entry'!$U$33,18-$A$1*2,0)</f>
        <v>#N/A</v>
      </c>
      <c r="C14" t="e">
        <f>VLOOKUP('Round 8'!$A14,INDEX(Entry!$E$2:$U$23,1,'Round 8'!$A$1*2-1):'Entry'!$U$33,19-$A$1*2,0)</f>
        <v>#N/A</v>
      </c>
      <c r="H14">
        <f t="shared" si="5"/>
        <v>0</v>
      </c>
      <c r="L14">
        <f t="shared" si="0"/>
        <v>0</v>
      </c>
      <c r="M14">
        <f t="shared" si="6"/>
        <v>0</v>
      </c>
      <c r="N14">
        <f t="shared" si="7"/>
        <v>0</v>
      </c>
      <c r="O14">
        <f t="shared" si="8"/>
        <v>0</v>
      </c>
      <c r="P14">
        <f t="shared" si="9"/>
        <v>1</v>
      </c>
      <c r="R14" t="e">
        <f t="shared" si="10"/>
        <v>#N/A</v>
      </c>
      <c r="S14" t="e">
        <f t="shared" si="10"/>
        <v>#N/A</v>
      </c>
      <c r="T14">
        <f>Table27111519232731[[#This Row],[Max]]</f>
        <v>0</v>
      </c>
      <c r="U14">
        <f>Table27111519232731[[#This Row],[Min]]</f>
        <v>0</v>
      </c>
      <c r="X14" t="e">
        <f>Table16101418222630[[#This Row],[Column1]]</f>
        <v>#N/A</v>
      </c>
      <c r="Y14">
        <v>12</v>
      </c>
      <c r="Z14" t="e">
        <f t="shared" si="1"/>
        <v>#N/A</v>
      </c>
      <c r="AA14" t="e">
        <f t="shared" si="2"/>
        <v>#N/A</v>
      </c>
      <c r="AB14" t="e">
        <f t="shared" si="3"/>
        <v>#N/A</v>
      </c>
      <c r="AC14" t="e">
        <f t="shared" si="4"/>
        <v>#N/A</v>
      </c>
      <c r="AD14" t="e">
        <f>VLOOKUP(Table16101418222630[[#This Row],['#]],Table27111519232731[['#]:[Drop]],16,0)</f>
        <v>#N/A</v>
      </c>
      <c r="AE14">
        <f>COUNTIF($AD$3:AD14,"X")</f>
        <v>0</v>
      </c>
      <c r="AF14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4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4">
        <v>12</v>
      </c>
      <c r="AJ14" t="e">
        <f t="shared" si="11"/>
        <v>#N/A</v>
      </c>
      <c r="AK14" t="e">
        <f t="shared" si="12"/>
        <v>#N/A</v>
      </c>
    </row>
    <row r="15" spans="1:41" x14ac:dyDescent="0.3">
      <c r="A15">
        <v>13</v>
      </c>
      <c r="B15" t="e">
        <f>VLOOKUP('Round 8'!$A15,INDEX(Entry!$E$2:$U$23,1,'Round 8'!$A$1*2-1):'Entry'!$U$33,18-$A$1*2,0)</f>
        <v>#N/A</v>
      </c>
      <c r="C15" t="e">
        <f>VLOOKUP('Round 8'!$A15,INDEX(Entry!$E$2:$U$23,1,'Round 8'!$A$1*2-1):'Entry'!$U$33,19-$A$1*2,0)</f>
        <v>#N/A</v>
      </c>
      <c r="H15">
        <f t="shared" si="5"/>
        <v>0</v>
      </c>
      <c r="L15">
        <f t="shared" si="0"/>
        <v>0</v>
      </c>
      <c r="M15">
        <f t="shared" si="6"/>
        <v>0</v>
      </c>
      <c r="N15">
        <f t="shared" si="7"/>
        <v>0</v>
      </c>
      <c r="O15">
        <f t="shared" si="8"/>
        <v>0</v>
      </c>
      <c r="P15">
        <f t="shared" si="9"/>
        <v>1</v>
      </c>
      <c r="R15" t="e">
        <f t="shared" si="10"/>
        <v>#N/A</v>
      </c>
      <c r="S15" t="e">
        <f t="shared" si="10"/>
        <v>#N/A</v>
      </c>
      <c r="T15">
        <f>Table27111519232731[[#This Row],[Max]]</f>
        <v>0</v>
      </c>
      <c r="U15">
        <f>Table27111519232731[[#This Row],[Min]]</f>
        <v>0</v>
      </c>
      <c r="X15" t="e">
        <f>Table16101418222630[[#This Row],[Column1]]</f>
        <v>#N/A</v>
      </c>
      <c r="Y15">
        <v>13</v>
      </c>
      <c r="Z15" t="e">
        <f t="shared" si="1"/>
        <v>#N/A</v>
      </c>
      <c r="AA15" t="e">
        <f t="shared" si="2"/>
        <v>#N/A</v>
      </c>
      <c r="AB15" t="e">
        <f t="shared" si="3"/>
        <v>#N/A</v>
      </c>
      <c r="AC15" t="e">
        <f t="shared" si="4"/>
        <v>#N/A</v>
      </c>
      <c r="AD15" t="e">
        <f>VLOOKUP(Table16101418222630[[#This Row],['#]],Table27111519232731[['#]:[Drop]],16,0)</f>
        <v>#N/A</v>
      </c>
      <c r="AE15">
        <f>COUNTIF($AD$3:AD15,"X")</f>
        <v>0</v>
      </c>
      <c r="AF15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5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5">
        <v>13</v>
      </c>
      <c r="AJ15" t="e">
        <f t="shared" si="11"/>
        <v>#N/A</v>
      </c>
      <c r="AK15" t="e">
        <f t="shared" si="12"/>
        <v>#N/A</v>
      </c>
      <c r="AM15" s="1">
        <v>2</v>
      </c>
      <c r="AN15" s="1" t="e">
        <f>VLOOKUP(AM15,$AI$3:$AL$18,2,0)</f>
        <v>#N/A</v>
      </c>
      <c r="AO15" s="1" t="e">
        <f>VLOOKUP(AM15,$AI$3:$AL$18,3,0)</f>
        <v>#N/A</v>
      </c>
    </row>
    <row r="16" spans="1:41" x14ac:dyDescent="0.3">
      <c r="A16">
        <v>14</v>
      </c>
      <c r="B16" t="e">
        <f>VLOOKUP('Round 8'!$A16,INDEX(Entry!$E$2:$U$23,1,'Round 8'!$A$1*2-1):'Entry'!$U$33,18-$A$1*2,0)</f>
        <v>#N/A</v>
      </c>
      <c r="C16" t="e">
        <f>VLOOKUP('Round 8'!$A16,INDEX(Entry!$E$2:$U$23,1,'Round 8'!$A$1*2-1):'Entry'!$U$33,19-$A$1*2,0)</f>
        <v>#N/A</v>
      </c>
      <c r="H16">
        <f t="shared" si="5"/>
        <v>0</v>
      </c>
      <c r="L16">
        <f t="shared" si="0"/>
        <v>0</v>
      </c>
      <c r="M16">
        <f t="shared" si="6"/>
        <v>0</v>
      </c>
      <c r="N16">
        <f t="shared" si="7"/>
        <v>0</v>
      </c>
      <c r="O16">
        <f t="shared" si="8"/>
        <v>0</v>
      </c>
      <c r="P16">
        <f t="shared" si="9"/>
        <v>1</v>
      </c>
      <c r="R16" t="e">
        <f t="shared" si="10"/>
        <v>#N/A</v>
      </c>
      <c r="S16" t="e">
        <f t="shared" si="10"/>
        <v>#N/A</v>
      </c>
      <c r="T16">
        <f>Table27111519232731[[#This Row],[Max]]</f>
        <v>0</v>
      </c>
      <c r="U16">
        <f>Table27111519232731[[#This Row],[Min]]</f>
        <v>0</v>
      </c>
      <c r="X16" t="e">
        <f>Table16101418222630[[#This Row],[Column1]]</f>
        <v>#N/A</v>
      </c>
      <c r="Y16">
        <v>14</v>
      </c>
      <c r="Z16" t="e">
        <f t="shared" si="1"/>
        <v>#N/A</v>
      </c>
      <c r="AA16" t="e">
        <f t="shared" si="2"/>
        <v>#N/A</v>
      </c>
      <c r="AB16" t="e">
        <f t="shared" si="3"/>
        <v>#N/A</v>
      </c>
      <c r="AC16" t="e">
        <f t="shared" si="4"/>
        <v>#N/A</v>
      </c>
      <c r="AD16" t="e">
        <f>VLOOKUP(Table16101418222630[[#This Row],['#]],Table27111519232731[['#]:[Drop]],16,0)</f>
        <v>#N/A</v>
      </c>
      <c r="AE16">
        <f>COUNTIF($AD$3:AD16,"X")</f>
        <v>0</v>
      </c>
      <c r="AF16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6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6">
        <v>14</v>
      </c>
      <c r="AJ16" t="e">
        <f t="shared" si="11"/>
        <v>#N/A</v>
      </c>
      <c r="AK16" t="e">
        <f t="shared" si="12"/>
        <v>#N/A</v>
      </c>
      <c r="AM16" s="1">
        <v>15</v>
      </c>
      <c r="AN16" s="1" t="e">
        <f>VLOOKUP(AM16,$AI$3:$AL$18,2,0)</f>
        <v>#N/A</v>
      </c>
      <c r="AO16" s="1" t="e">
        <f>VLOOKUP(AM16,$AI$3:$AL$18,3,0)</f>
        <v>#N/A</v>
      </c>
    </row>
    <row r="17" spans="1:41" x14ac:dyDescent="0.3">
      <c r="A17">
        <v>15</v>
      </c>
      <c r="B17" t="e">
        <f>VLOOKUP('Round 8'!$A17,INDEX(Entry!$E$2:$U$23,1,'Round 8'!$A$1*2-1):'Entry'!$U$33,18-$A$1*2,0)</f>
        <v>#N/A</v>
      </c>
      <c r="C17" t="e">
        <f>VLOOKUP('Round 8'!$A17,INDEX(Entry!$E$2:$U$23,1,'Round 8'!$A$1*2-1):'Entry'!$U$33,19-$A$1*2,0)</f>
        <v>#N/A</v>
      </c>
      <c r="H17">
        <f t="shared" si="5"/>
        <v>0</v>
      </c>
      <c r="L17">
        <f t="shared" si="0"/>
        <v>0</v>
      </c>
      <c r="M17">
        <f t="shared" si="6"/>
        <v>0</v>
      </c>
      <c r="N17">
        <f t="shared" si="7"/>
        <v>0</v>
      </c>
      <c r="O17">
        <f t="shared" si="8"/>
        <v>0</v>
      </c>
      <c r="P17">
        <f t="shared" si="9"/>
        <v>1</v>
      </c>
      <c r="R17" t="e">
        <f t="shared" si="10"/>
        <v>#N/A</v>
      </c>
      <c r="S17" t="e">
        <f t="shared" si="10"/>
        <v>#N/A</v>
      </c>
      <c r="T17">
        <f>Table27111519232731[[#This Row],[Max]]</f>
        <v>0</v>
      </c>
      <c r="U17">
        <f>Table27111519232731[[#This Row],[Min]]</f>
        <v>0</v>
      </c>
      <c r="X17" t="e">
        <f>Table16101418222630[[#This Row],[Column1]]</f>
        <v>#N/A</v>
      </c>
      <c r="Y17">
        <v>15</v>
      </c>
      <c r="Z17" t="e">
        <f t="shared" si="1"/>
        <v>#N/A</v>
      </c>
      <c r="AA17" t="e">
        <f t="shared" si="2"/>
        <v>#N/A</v>
      </c>
      <c r="AB17" t="e">
        <f t="shared" si="3"/>
        <v>#N/A</v>
      </c>
      <c r="AC17" t="e">
        <f t="shared" si="4"/>
        <v>#N/A</v>
      </c>
      <c r="AD17" t="e">
        <f>VLOOKUP(Table16101418222630[[#This Row],['#]],Table27111519232731[['#]:[Drop]],16,0)</f>
        <v>#N/A</v>
      </c>
      <c r="AE17">
        <f>COUNTIF($AD$3:AD17,"X")</f>
        <v>0</v>
      </c>
      <c r="AF17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7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7">
        <v>15</v>
      </c>
      <c r="AJ17" t="e">
        <f t="shared" si="11"/>
        <v>#N/A</v>
      </c>
      <c r="AK17" t="e">
        <f t="shared" si="12"/>
        <v>#N/A</v>
      </c>
    </row>
    <row r="18" spans="1:41" x14ac:dyDescent="0.3">
      <c r="A18">
        <v>16</v>
      </c>
      <c r="B18" t="e">
        <f>VLOOKUP('Round 8'!$A18,INDEX(Entry!$E$2:$U$23,1,'Round 8'!$A$1*2-1):'Entry'!$U$33,18-$A$1*2,0)</f>
        <v>#N/A</v>
      </c>
      <c r="C18" t="e">
        <f>VLOOKUP('Round 8'!$A18,INDEX(Entry!$E$2:$U$23,1,'Round 8'!$A$1*2-1):'Entry'!$U$33,19-$A$1*2,0)</f>
        <v>#N/A</v>
      </c>
      <c r="H18">
        <f t="shared" si="5"/>
        <v>0</v>
      </c>
      <c r="L18">
        <f t="shared" si="0"/>
        <v>0</v>
      </c>
      <c r="M18">
        <f t="shared" si="6"/>
        <v>0</v>
      </c>
      <c r="N18">
        <f t="shared" si="7"/>
        <v>0</v>
      </c>
      <c r="O18">
        <f t="shared" si="8"/>
        <v>0</v>
      </c>
      <c r="P18">
        <f t="shared" si="9"/>
        <v>1</v>
      </c>
      <c r="R18" t="e">
        <f t="shared" si="10"/>
        <v>#N/A</v>
      </c>
      <c r="S18" t="e">
        <f t="shared" si="10"/>
        <v>#N/A</v>
      </c>
      <c r="T18">
        <f>Table27111519232731[[#This Row],[Max]]</f>
        <v>0</v>
      </c>
      <c r="U18">
        <f>Table27111519232731[[#This Row],[Min]]</f>
        <v>0</v>
      </c>
      <c r="X18" t="e">
        <f>Table16101418222630[[#This Row],[Column1]]</f>
        <v>#N/A</v>
      </c>
      <c r="Y18">
        <v>16</v>
      </c>
      <c r="Z18" t="e">
        <f t="shared" si="1"/>
        <v>#N/A</v>
      </c>
      <c r="AA18" t="e">
        <f t="shared" si="2"/>
        <v>#N/A</v>
      </c>
      <c r="AB18" t="e">
        <f t="shared" si="3"/>
        <v>#N/A</v>
      </c>
      <c r="AC18" t="e">
        <f t="shared" si="4"/>
        <v>#N/A</v>
      </c>
      <c r="AD18" t="e">
        <f>VLOOKUP(Table16101418222630[[#This Row],['#]],Table27111519232731[['#]:[Drop]],16,0)</f>
        <v>#N/A</v>
      </c>
      <c r="AE18">
        <f>COUNTIF($AD$3:AD18,"X")</f>
        <v>0</v>
      </c>
      <c r="AF18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8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I18">
        <v>16</v>
      </c>
      <c r="AJ18" t="e">
        <f t="shared" si="11"/>
        <v>#N/A</v>
      </c>
      <c r="AK18" t="e">
        <f t="shared" si="12"/>
        <v>#N/A</v>
      </c>
      <c r="AM18" s="1">
        <v>7</v>
      </c>
      <c r="AN18" s="1" t="e">
        <f>VLOOKUP(AM18,$AI$3:$AL$18,2,0)</f>
        <v>#N/A</v>
      </c>
      <c r="AO18" s="1" t="e">
        <f>VLOOKUP(AM18,$AI$3:$AL$18,3,0)</f>
        <v>#N/A</v>
      </c>
    </row>
    <row r="19" spans="1:41" x14ac:dyDescent="0.3">
      <c r="A19">
        <v>17</v>
      </c>
      <c r="B19" t="e">
        <f>VLOOKUP('Round 8'!$A19,INDEX(Entry!$E$2:$U$23,1,'Round 8'!$A$1*2-1):'Entry'!$U$33,18-$A$1*2,0)</f>
        <v>#N/A</v>
      </c>
      <c r="C19" t="e">
        <f>VLOOKUP('Round 8'!$A19,INDEX(Entry!$E$2:$U$23,1,'Round 8'!$A$1*2-1):'Entry'!$U$33,19-$A$1*2,0)</f>
        <v>#N/A</v>
      </c>
      <c r="H19">
        <f t="shared" si="5"/>
        <v>0</v>
      </c>
      <c r="L19">
        <f t="shared" si="0"/>
        <v>0</v>
      </c>
      <c r="M19">
        <f t="shared" si="6"/>
        <v>0</v>
      </c>
      <c r="N19">
        <f t="shared" si="7"/>
        <v>0</v>
      </c>
      <c r="O19">
        <f t="shared" si="8"/>
        <v>0</v>
      </c>
      <c r="P19">
        <f t="shared" si="9"/>
        <v>1</v>
      </c>
      <c r="R19" t="e">
        <f t="shared" si="10"/>
        <v>#N/A</v>
      </c>
      <c r="S19" t="e">
        <f t="shared" si="10"/>
        <v>#N/A</v>
      </c>
      <c r="T19">
        <f>Table27111519232731[[#This Row],[Max]]</f>
        <v>0</v>
      </c>
      <c r="U19">
        <f>Table27111519232731[[#This Row],[Min]]</f>
        <v>0</v>
      </c>
      <c r="X19" t="e">
        <f>Table16101418222630[[#This Row],[Column1]]</f>
        <v>#N/A</v>
      </c>
      <c r="Y19">
        <v>17</v>
      </c>
      <c r="Z19" t="e">
        <f t="shared" si="1"/>
        <v>#N/A</v>
      </c>
      <c r="AA19" t="e">
        <f t="shared" si="2"/>
        <v>#N/A</v>
      </c>
      <c r="AB19" t="e">
        <f t="shared" si="3"/>
        <v>#N/A</v>
      </c>
      <c r="AC19" t="e">
        <f t="shared" si="4"/>
        <v>#N/A</v>
      </c>
      <c r="AD19" t="e">
        <f>VLOOKUP(Table16101418222630[[#This Row],['#]],Table27111519232731[['#]:[Drop]],16,0)</f>
        <v>#N/A</v>
      </c>
      <c r="AE19">
        <f>COUNTIF($AD$3:AD19,"X")</f>
        <v>0</v>
      </c>
      <c r="AF19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19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M19" s="1">
        <v>10</v>
      </c>
      <c r="AN19" s="1" t="e">
        <f>VLOOKUP(AM19,$AI$3:$AL$18,2,0)</f>
        <v>#N/A</v>
      </c>
      <c r="AO19" s="1" t="e">
        <f>VLOOKUP(AM19,$AI$3:$AL$18,3,0)</f>
        <v>#N/A</v>
      </c>
    </row>
    <row r="20" spans="1:41" x14ac:dyDescent="0.3">
      <c r="A20">
        <v>18</v>
      </c>
      <c r="B20" t="e">
        <f>VLOOKUP('Round 8'!$A20,INDEX(Entry!$E$2:$U$23,1,'Round 8'!$A$1*2-1):'Entry'!$U$33,18-$A$1*2,0)</f>
        <v>#N/A</v>
      </c>
      <c r="C20" t="e">
        <f>VLOOKUP('Round 8'!$A20,INDEX(Entry!$E$2:$U$23,1,'Round 8'!$A$1*2-1):'Entry'!$U$33,19-$A$1*2,0)</f>
        <v>#N/A</v>
      </c>
      <c r="H20">
        <f t="shared" si="5"/>
        <v>0</v>
      </c>
      <c r="L20">
        <f t="shared" si="0"/>
        <v>0</v>
      </c>
      <c r="M20">
        <f t="shared" si="6"/>
        <v>0</v>
      </c>
      <c r="N20">
        <f t="shared" si="7"/>
        <v>0</v>
      </c>
      <c r="O20">
        <f t="shared" si="8"/>
        <v>0</v>
      </c>
      <c r="P20">
        <f t="shared" si="9"/>
        <v>1</v>
      </c>
      <c r="R20" t="e">
        <f t="shared" si="10"/>
        <v>#N/A</v>
      </c>
      <c r="S20" t="e">
        <f t="shared" si="10"/>
        <v>#N/A</v>
      </c>
      <c r="T20">
        <f>Table27111519232731[[#This Row],[Max]]</f>
        <v>0</v>
      </c>
      <c r="U20">
        <f>Table27111519232731[[#This Row],[Min]]</f>
        <v>0</v>
      </c>
      <c r="X20" t="e">
        <f>Table16101418222630[[#This Row],[Column1]]</f>
        <v>#N/A</v>
      </c>
      <c r="Y20">
        <v>18</v>
      </c>
      <c r="Z20" t="e">
        <f t="shared" si="1"/>
        <v>#N/A</v>
      </c>
      <c r="AA20" t="e">
        <f t="shared" si="2"/>
        <v>#N/A</v>
      </c>
      <c r="AB20" t="e">
        <f t="shared" si="3"/>
        <v>#N/A</v>
      </c>
      <c r="AC20" t="e">
        <f t="shared" si="4"/>
        <v>#N/A</v>
      </c>
      <c r="AD20" t="e">
        <f>VLOOKUP(Table16101418222630[[#This Row],['#]],Table27111519232731[['#]:[Drop]],16,0)</f>
        <v>#N/A</v>
      </c>
      <c r="AE20">
        <f>COUNTIF($AD$3:AD20,"X")</f>
        <v>0</v>
      </c>
      <c r="AF20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0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</row>
    <row r="21" spans="1:41" x14ac:dyDescent="0.3">
      <c r="A21">
        <v>19</v>
      </c>
      <c r="B21" t="e">
        <f>VLOOKUP('Round 8'!$A21,INDEX(Entry!$E$2:$U$23,1,'Round 8'!$A$1*2-1):'Entry'!$U$33,18-$A$1*2,0)</f>
        <v>#N/A</v>
      </c>
      <c r="C21" t="e">
        <f>VLOOKUP('Round 8'!$A21,INDEX(Entry!$E$2:$U$23,1,'Round 8'!$A$1*2-1):'Entry'!$U$33,19-$A$1*2,0)</f>
        <v>#N/A</v>
      </c>
      <c r="H21">
        <f t="shared" si="5"/>
        <v>0</v>
      </c>
      <c r="L21">
        <f t="shared" si="0"/>
        <v>0</v>
      </c>
      <c r="M21">
        <f t="shared" si="6"/>
        <v>0</v>
      </c>
      <c r="N21">
        <f t="shared" si="7"/>
        <v>0</v>
      </c>
      <c r="O21">
        <f t="shared" si="8"/>
        <v>0</v>
      </c>
      <c r="P21">
        <f t="shared" si="9"/>
        <v>1</v>
      </c>
      <c r="R21" t="e">
        <f t="shared" si="10"/>
        <v>#N/A</v>
      </c>
      <c r="S21" t="e">
        <f t="shared" si="10"/>
        <v>#N/A</v>
      </c>
      <c r="T21">
        <f>Table27111519232731[[#This Row],[Max]]</f>
        <v>0</v>
      </c>
      <c r="U21">
        <f>Table27111519232731[[#This Row],[Min]]</f>
        <v>0</v>
      </c>
      <c r="X21" t="e">
        <f>Table16101418222630[[#This Row],[Column1]]</f>
        <v>#N/A</v>
      </c>
      <c r="Y21">
        <v>19</v>
      </c>
      <c r="Z21" t="e">
        <f t="shared" si="1"/>
        <v>#N/A</v>
      </c>
      <c r="AA21" t="e">
        <f t="shared" si="2"/>
        <v>#N/A</v>
      </c>
      <c r="AB21" t="e">
        <f t="shared" si="3"/>
        <v>#N/A</v>
      </c>
      <c r="AC21" t="e">
        <f t="shared" si="4"/>
        <v>#N/A</v>
      </c>
      <c r="AD21" t="e">
        <f>VLOOKUP(Table16101418222630[[#This Row],['#]],Table27111519232731[['#]:[Drop]],16,0)</f>
        <v>#N/A</v>
      </c>
      <c r="AE21">
        <f>COUNTIF($AD$3:AD21,"X")</f>
        <v>0</v>
      </c>
      <c r="AF21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1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M21" s="1">
        <v>3</v>
      </c>
      <c r="AN21" s="1" t="e">
        <f>VLOOKUP(AM21,$AI$3:$AL$18,2,0)</f>
        <v>#N/A</v>
      </c>
      <c r="AO21" s="1" t="e">
        <f>VLOOKUP(AM21,$AI$3:$AL$18,3,0)</f>
        <v>#N/A</v>
      </c>
    </row>
    <row r="22" spans="1:41" x14ac:dyDescent="0.3">
      <c r="A22">
        <v>20</v>
      </c>
      <c r="B22" t="e">
        <f>VLOOKUP('Round 8'!$A22,INDEX(Entry!$E$2:$U$23,1,'Round 8'!$A$1*2-1):'Entry'!$U$33,18-$A$1*2,0)</f>
        <v>#N/A</v>
      </c>
      <c r="C22" t="e">
        <f>VLOOKUP('Round 8'!$A22,INDEX(Entry!$E$2:$U$23,1,'Round 8'!$A$1*2-1):'Entry'!$U$33,19-$A$1*2,0)</f>
        <v>#N/A</v>
      </c>
      <c r="H22">
        <f t="shared" si="5"/>
        <v>0</v>
      </c>
      <c r="L22">
        <f t="shared" si="0"/>
        <v>0</v>
      </c>
      <c r="M22">
        <f t="shared" si="6"/>
        <v>0</v>
      </c>
      <c r="N22">
        <f t="shared" si="7"/>
        <v>0</v>
      </c>
      <c r="O22">
        <f t="shared" si="8"/>
        <v>0</v>
      </c>
      <c r="P22">
        <f t="shared" si="9"/>
        <v>1</v>
      </c>
      <c r="R22" t="e">
        <f t="shared" si="10"/>
        <v>#N/A</v>
      </c>
      <c r="S22" t="e">
        <f t="shared" si="10"/>
        <v>#N/A</v>
      </c>
      <c r="T22">
        <f>Table27111519232731[[#This Row],[Max]]</f>
        <v>0</v>
      </c>
      <c r="U22">
        <f>Table27111519232731[[#This Row],[Min]]</f>
        <v>0</v>
      </c>
      <c r="X22" t="e">
        <f>Table16101418222630[[#This Row],[Column1]]</f>
        <v>#N/A</v>
      </c>
      <c r="Y22">
        <v>20</v>
      </c>
      <c r="Z22" t="e">
        <f t="shared" si="1"/>
        <v>#N/A</v>
      </c>
      <c r="AA22" t="e">
        <f t="shared" si="2"/>
        <v>#N/A</v>
      </c>
      <c r="AB22" t="e">
        <f t="shared" si="3"/>
        <v>#N/A</v>
      </c>
      <c r="AC22" t="e">
        <f t="shared" si="4"/>
        <v>#N/A</v>
      </c>
      <c r="AD22" t="e">
        <f>VLOOKUP(Table16101418222630[[#This Row],['#]],Table27111519232731[['#]:[Drop]],16,0)</f>
        <v>#N/A</v>
      </c>
      <c r="AE22">
        <f>COUNTIF($AD$3:AD22,"X")</f>
        <v>0</v>
      </c>
      <c r="AF22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2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M22" s="1">
        <v>14</v>
      </c>
      <c r="AN22" s="1" t="e">
        <f>VLOOKUP(AM22,$AI$3:$AL$18,2,0)</f>
        <v>#N/A</v>
      </c>
      <c r="AO22" s="1" t="e">
        <f>VLOOKUP(AM22,$AI$3:$AL$18,3,0)</f>
        <v>#N/A</v>
      </c>
    </row>
    <row r="23" spans="1:41" x14ac:dyDescent="0.3">
      <c r="A23">
        <v>21</v>
      </c>
      <c r="B23" t="e">
        <f>VLOOKUP('Round 8'!$A23,INDEX(Entry!$E$2:$U$23,1,'Round 8'!$A$1*2-1):'Entry'!$U$33,18-$A$1*2,0)</f>
        <v>#N/A</v>
      </c>
      <c r="C23" t="e">
        <f>VLOOKUP('Round 8'!$A23,INDEX(Entry!$E$2:$U$23,1,'Round 8'!$A$1*2-1):'Entry'!$U$33,19-$A$1*2,0)</f>
        <v>#N/A</v>
      </c>
      <c r="H23">
        <f t="shared" si="5"/>
        <v>0</v>
      </c>
      <c r="L23">
        <f t="shared" si="0"/>
        <v>0</v>
      </c>
      <c r="M23">
        <f t="shared" si="6"/>
        <v>0</v>
      </c>
      <c r="N23">
        <f t="shared" si="7"/>
        <v>0</v>
      </c>
      <c r="O23">
        <f t="shared" si="8"/>
        <v>0</v>
      </c>
      <c r="P23">
        <f t="shared" si="9"/>
        <v>1</v>
      </c>
      <c r="R23" t="e">
        <f t="shared" si="10"/>
        <v>#N/A</v>
      </c>
      <c r="S23" t="e">
        <f t="shared" si="10"/>
        <v>#N/A</v>
      </c>
      <c r="T23">
        <f>Table27111519232731[[#This Row],[Max]]</f>
        <v>0</v>
      </c>
      <c r="U23">
        <f>Table27111519232731[[#This Row],[Min]]</f>
        <v>0</v>
      </c>
      <c r="X23" t="e">
        <f>Table16101418222630[[#This Row],[Column1]]</f>
        <v>#N/A</v>
      </c>
      <c r="Y23">
        <v>21</v>
      </c>
      <c r="Z23" t="e">
        <f t="shared" si="1"/>
        <v>#N/A</v>
      </c>
      <c r="AA23" t="e">
        <f t="shared" si="2"/>
        <v>#N/A</v>
      </c>
      <c r="AB23" t="e">
        <f t="shared" si="3"/>
        <v>#N/A</v>
      </c>
      <c r="AC23" t="e">
        <f t="shared" si="4"/>
        <v>#N/A</v>
      </c>
      <c r="AD23" t="e">
        <f>VLOOKUP(Table16101418222630[[#This Row],['#]],Table27111519232731[['#]:[Drop]],16,0)</f>
        <v>#N/A</v>
      </c>
      <c r="AE23">
        <f>COUNTIF($AD$3:AD23,"X")</f>
        <v>0</v>
      </c>
      <c r="AF23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3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</row>
    <row r="24" spans="1:41" x14ac:dyDescent="0.3">
      <c r="A24">
        <v>22</v>
      </c>
      <c r="B24" t="e">
        <f>VLOOKUP('Round 8'!$A24,INDEX(Entry!$E$2:$U$23,1,'Round 8'!$A$1*2-1):'Entry'!$U$33,18-$A$1*2,0)</f>
        <v>#N/A</v>
      </c>
      <c r="C24" t="e">
        <f>VLOOKUP('Round 8'!$A24,INDEX(Entry!$E$2:$U$23,1,'Round 8'!$A$1*2-1):'Entry'!$U$33,19-$A$1*2,0)</f>
        <v>#N/A</v>
      </c>
      <c r="H24">
        <f t="shared" si="5"/>
        <v>0</v>
      </c>
      <c r="L24">
        <f t="shared" si="0"/>
        <v>0</v>
      </c>
      <c r="M24">
        <f t="shared" si="6"/>
        <v>0</v>
      </c>
      <c r="N24">
        <f t="shared" si="7"/>
        <v>0</v>
      </c>
      <c r="O24">
        <f t="shared" si="8"/>
        <v>0</v>
      </c>
      <c r="P24">
        <f t="shared" si="9"/>
        <v>1</v>
      </c>
      <c r="R24" t="e">
        <f t="shared" si="10"/>
        <v>#N/A</v>
      </c>
      <c r="S24" t="e">
        <f t="shared" si="10"/>
        <v>#N/A</v>
      </c>
      <c r="T24">
        <f>Table27111519232731[[#This Row],[Max]]</f>
        <v>0</v>
      </c>
      <c r="U24">
        <f>Table27111519232731[[#This Row],[Min]]</f>
        <v>0</v>
      </c>
      <c r="X24" t="e">
        <f>Table16101418222630[[#This Row],[Column1]]</f>
        <v>#N/A</v>
      </c>
      <c r="Y24">
        <v>22</v>
      </c>
      <c r="Z24" t="e">
        <f t="shared" si="1"/>
        <v>#N/A</v>
      </c>
      <c r="AA24" t="e">
        <f t="shared" si="2"/>
        <v>#N/A</v>
      </c>
      <c r="AB24" t="e">
        <f t="shared" si="3"/>
        <v>#N/A</v>
      </c>
      <c r="AC24" t="e">
        <f t="shared" si="4"/>
        <v>#N/A</v>
      </c>
      <c r="AD24" t="e">
        <f>VLOOKUP(Table16101418222630[[#This Row],['#]],Table27111519232731[['#]:[Drop]],16,0)</f>
        <v>#N/A</v>
      </c>
      <c r="AE24">
        <f>COUNTIF($AD$3:AD24,"X")</f>
        <v>0</v>
      </c>
      <c r="AF24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4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M24" s="1">
        <v>6</v>
      </c>
      <c r="AN24" s="1" t="e">
        <f>VLOOKUP(AM24,$AI$3:$AL$18,2,0)</f>
        <v>#N/A</v>
      </c>
      <c r="AO24" s="1" t="e">
        <f>VLOOKUP(AM24,$AI$3:$AL$18,3,0)</f>
        <v>#N/A</v>
      </c>
    </row>
    <row r="25" spans="1:41" x14ac:dyDescent="0.3">
      <c r="A25">
        <v>23</v>
      </c>
      <c r="B25" t="e">
        <f>VLOOKUP('Round 8'!$A25,INDEX(Entry!$E$2:$U$23,1,'Round 8'!$A$1*2-1):'Entry'!$U$33,18-$A$1*2,0)</f>
        <v>#N/A</v>
      </c>
      <c r="C25" t="e">
        <f>VLOOKUP('Round 8'!$A25,INDEX(Entry!$E$2:$U$23,1,'Round 8'!$A$1*2-1):'Entry'!$U$33,19-$A$1*2,0)</f>
        <v>#N/A</v>
      </c>
      <c r="H25">
        <f t="shared" si="5"/>
        <v>0</v>
      </c>
      <c r="L25">
        <f t="shared" si="0"/>
        <v>0</v>
      </c>
      <c r="M25">
        <f t="shared" si="6"/>
        <v>0</v>
      </c>
      <c r="N25">
        <f t="shared" si="7"/>
        <v>0</v>
      </c>
      <c r="O25">
        <f t="shared" si="8"/>
        <v>0</v>
      </c>
      <c r="P25">
        <f t="shared" si="9"/>
        <v>1</v>
      </c>
      <c r="R25" t="e">
        <f t="shared" si="10"/>
        <v>#N/A</v>
      </c>
      <c r="S25" t="e">
        <f t="shared" si="10"/>
        <v>#N/A</v>
      </c>
      <c r="T25">
        <f>Table27111519232731[[#This Row],[Max]]</f>
        <v>0</v>
      </c>
      <c r="U25">
        <f>Table27111519232731[[#This Row],[Min]]</f>
        <v>0</v>
      </c>
      <c r="X25" t="e">
        <f>Table16101418222630[[#This Row],[Column1]]</f>
        <v>#N/A</v>
      </c>
      <c r="Y25">
        <v>23</v>
      </c>
      <c r="Z25" t="e">
        <f t="shared" si="1"/>
        <v>#N/A</v>
      </c>
      <c r="AA25" t="e">
        <f t="shared" si="2"/>
        <v>#N/A</v>
      </c>
      <c r="AB25" t="e">
        <f t="shared" si="3"/>
        <v>#N/A</v>
      </c>
      <c r="AC25" t="e">
        <f t="shared" si="4"/>
        <v>#N/A</v>
      </c>
      <c r="AD25" t="e">
        <f>VLOOKUP(Table16101418222630[[#This Row],['#]],Table27111519232731[['#]:[Drop]],16,0)</f>
        <v>#N/A</v>
      </c>
      <c r="AE25">
        <f>COUNTIF($AD$3:AD25,"X")</f>
        <v>0</v>
      </c>
      <c r="AF25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5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  <c r="AM25" s="1">
        <v>11</v>
      </c>
      <c r="AN25" s="1" t="e">
        <f>VLOOKUP(AM25,$AI$3:$AL$18,2,0)</f>
        <v>#N/A</v>
      </c>
      <c r="AO25" s="1" t="e">
        <f>VLOOKUP(AM25,$AI$3:$AL$18,3,0)</f>
        <v>#N/A</v>
      </c>
    </row>
    <row r="26" spans="1:41" x14ac:dyDescent="0.3">
      <c r="A26">
        <v>24</v>
      </c>
      <c r="B26" t="e">
        <f>VLOOKUP('Round 8'!$A26,INDEX(Entry!$E$2:$U$23,1,'Round 8'!$A$1*2-1):'Entry'!$U$33,18-$A$1*2,0)</f>
        <v>#N/A</v>
      </c>
      <c r="C26" t="e">
        <f>VLOOKUP('Round 8'!$A26,INDEX(Entry!$E$2:$U$23,1,'Round 8'!$A$1*2-1):'Entry'!$U$33,19-$A$1*2,0)</f>
        <v>#N/A</v>
      </c>
      <c r="H26">
        <f t="shared" si="5"/>
        <v>0</v>
      </c>
      <c r="L26">
        <f t="shared" si="0"/>
        <v>0</v>
      </c>
      <c r="M26">
        <f t="shared" si="6"/>
        <v>0</v>
      </c>
      <c r="N26">
        <f t="shared" si="7"/>
        <v>0</v>
      </c>
      <c r="O26">
        <f t="shared" si="8"/>
        <v>0</v>
      </c>
      <c r="P26">
        <f t="shared" si="9"/>
        <v>1</v>
      </c>
      <c r="R26" t="e">
        <f t="shared" si="10"/>
        <v>#N/A</v>
      </c>
      <c r="S26" t="e">
        <f t="shared" si="10"/>
        <v>#N/A</v>
      </c>
      <c r="T26">
        <f>Table27111519232731[[#This Row],[Max]]</f>
        <v>0</v>
      </c>
      <c r="U26">
        <f>Table27111519232731[[#This Row],[Min]]</f>
        <v>0</v>
      </c>
      <c r="X26" t="e">
        <f>Table16101418222630[[#This Row],[Column1]]</f>
        <v>#N/A</v>
      </c>
      <c r="Y26">
        <v>24</v>
      </c>
      <c r="Z26" t="e">
        <f t="shared" si="1"/>
        <v>#N/A</v>
      </c>
      <c r="AA26" t="e">
        <f t="shared" si="2"/>
        <v>#N/A</v>
      </c>
      <c r="AB26" t="e">
        <f t="shared" si="3"/>
        <v>#N/A</v>
      </c>
      <c r="AC26" t="e">
        <f t="shared" si="4"/>
        <v>#N/A</v>
      </c>
      <c r="AD26" t="e">
        <f>VLOOKUP(Table16101418222630[[#This Row],['#]],Table27111519232731[['#]:[Drop]],16,0)</f>
        <v>#N/A</v>
      </c>
      <c r="AE26">
        <f>COUNTIF($AD$3:AD26,"X")</f>
        <v>0</v>
      </c>
      <c r="AF26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6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</row>
    <row r="27" spans="1:41" x14ac:dyDescent="0.3">
      <c r="A27">
        <v>25</v>
      </c>
      <c r="B27" t="e">
        <f>VLOOKUP('Round 8'!$A27,INDEX(Entry!$E$2:$U$23,1,'Round 8'!$A$1*2-1):'Entry'!$U$33,18-$A$1*2,0)</f>
        <v>#N/A</v>
      </c>
      <c r="C27" t="e">
        <f>VLOOKUP('Round 8'!$A27,INDEX(Entry!$E$2:$U$23,1,'Round 8'!$A$1*2-1):'Entry'!$U$33,19-$A$1*2,0)</f>
        <v>#N/A</v>
      </c>
      <c r="H27">
        <f t="shared" si="5"/>
        <v>0</v>
      </c>
      <c r="L27">
        <f t="shared" si="0"/>
        <v>0</v>
      </c>
      <c r="M27">
        <f t="shared" si="6"/>
        <v>0</v>
      </c>
      <c r="N27">
        <f t="shared" si="7"/>
        <v>0</v>
      </c>
      <c r="O27">
        <f t="shared" si="8"/>
        <v>0</v>
      </c>
      <c r="P27">
        <f t="shared" si="9"/>
        <v>1</v>
      </c>
      <c r="R27" t="e">
        <f t="shared" si="10"/>
        <v>#N/A</v>
      </c>
      <c r="S27" t="e">
        <f t="shared" si="10"/>
        <v>#N/A</v>
      </c>
      <c r="T27">
        <f>Table27111519232731[[#This Row],[Max]]</f>
        <v>0</v>
      </c>
      <c r="U27">
        <f>Table27111519232731[[#This Row],[Min]]</f>
        <v>0</v>
      </c>
      <c r="X27" t="e">
        <f>Table16101418222630[[#This Row],[Column1]]</f>
        <v>#N/A</v>
      </c>
      <c r="Y27">
        <v>25</v>
      </c>
      <c r="Z27" t="e">
        <f t="shared" si="1"/>
        <v>#N/A</v>
      </c>
      <c r="AA27" t="e">
        <f t="shared" si="2"/>
        <v>#N/A</v>
      </c>
      <c r="AB27" t="e">
        <f t="shared" si="3"/>
        <v>#N/A</v>
      </c>
      <c r="AC27" t="e">
        <f t="shared" si="4"/>
        <v>#N/A</v>
      </c>
      <c r="AD27" t="e">
        <f>VLOOKUP(Table16101418222630[[#This Row],['#]],Table27111519232731[['#]:[Drop]],16,0)</f>
        <v>#N/A</v>
      </c>
      <c r="AE27">
        <f>COUNTIF($AD$3:AD27,"X")</f>
        <v>0</v>
      </c>
      <c r="AF27" t="e">
        <f>IF(Table16101418222630[[#This Row],[Drop Hide]]="X",16+Table16101418222630[[#This Row],[Count drop hide]],IF(Table16101418222630[[#This Row],[Rank]]-Table16101418222630[[#This Row],[Count drop hide]]&gt;16,Table16101418222630[[#This Row],[Rank]],Table16101418222630[[#This Row],[Rank]]-Table16101418222630[[#This Row],[Count drop hide]]))</f>
        <v>#N/A</v>
      </c>
      <c r="AG27" t="e">
        <f>IF(Table16101418222630[[#This Row],[Drop Hide]]="X",10,IF(AND(Table16101418222630[[#This Row],[Highest Score]]&gt;0,Table16101418222630[[#This Row],[Lower Score]]&gt;0),5,IF(AND(Table16101418222630[[#This Row],[Highest Score]]&gt;0,Table16101418222630[[#This Row],[Lower Score]]=0),2,IF(AND(Table16101418222630[[#This Row],[Highest Score]]=0,Table16101418222630[[#This Row],[Lower Score]]=0,VLOOKUP(Table16101418222630[[#This Row],['#]],Table27111519232731[['#]:[Scrut]],3,0)="X"),1,0))))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214A87BF-07E6-4A5F-AAD6-45568E1E4B3E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1300-BFD8-4C10-8E34-B599DFBCDDA7}">
  <dimension ref="A1:AK40"/>
  <sheetViews>
    <sheetView topLeftCell="A6" workbookViewId="0">
      <selection activeCell="B22" sqref="B22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 t="e">
        <f>VLOOKUP(A2,'Round 8'!$AI$3:$AK$18,2,0)</f>
        <v>#N/A</v>
      </c>
      <c r="C2" s="1" t="e">
        <f>VLOOKUP(A2,'Round 8'!$AI$3:$AK$18,3,0)</f>
        <v>#N/A</v>
      </c>
      <c r="D2" s="1">
        <f>AB3</f>
        <v>0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 t="str">
        <f>IF(AND(D2=0,D4=0),"",IF(D2&gt;D4,A2,A4))</f>
        <v/>
      </c>
      <c r="G3" s="1" t="str">
        <f>IF(AND(D2=0,D4=0),"",IF(D2&gt;D4,B2,B4))</f>
        <v/>
      </c>
      <c r="H3" s="1" t="str">
        <f>IF(AND(D2=0,D4=0),"",IF(D2&gt;D4,C2,C4))</f>
        <v/>
      </c>
      <c r="I3" s="1">
        <f>AB27</f>
        <v>0</v>
      </c>
      <c r="J3" s="2"/>
      <c r="Y3" s="1">
        <f>A2</f>
        <v>1</v>
      </c>
      <c r="Z3" s="1" t="e">
        <f>B2</f>
        <v>#N/A</v>
      </c>
      <c r="AA3" s="1" t="e">
        <f>C2</f>
        <v>#N/A</v>
      </c>
      <c r="AB3" s="4"/>
      <c r="AD3" s="1" t="str">
        <f>K5</f>
        <v/>
      </c>
      <c r="AE3" s="1" t="str">
        <f t="shared" ref="AE3:AF3" si="0">L5</f>
        <v/>
      </c>
      <c r="AF3" s="1" t="str">
        <f t="shared" si="0"/>
        <v/>
      </c>
      <c r="AG3" s="4"/>
    </row>
    <row r="4" spans="1:37" x14ac:dyDescent="0.3">
      <c r="A4" s="1">
        <v>16</v>
      </c>
      <c r="B4" s="1" t="e">
        <f>VLOOKUP(A4,'Round 8'!$AI$3:$AK$18,2,0)</f>
        <v>#N/A</v>
      </c>
      <c r="C4" s="1" t="e">
        <f>VLOOKUP(A4,'Round 8'!$AI$3:$AK$18,3,0)</f>
        <v>#N/A</v>
      </c>
      <c r="D4" s="1">
        <f>AB4</f>
        <v>0</v>
      </c>
      <c r="E4" s="2"/>
      <c r="J4" s="2"/>
      <c r="Y4" s="1">
        <f>A4</f>
        <v>16</v>
      </c>
      <c r="Z4" s="1" t="e">
        <f>B4</f>
        <v>#N/A</v>
      </c>
      <c r="AA4" s="1" t="e">
        <f>C4</f>
        <v>#N/A</v>
      </c>
      <c r="AB4" s="4"/>
      <c r="AD4" s="1" t="str">
        <f>K13</f>
        <v/>
      </c>
      <c r="AE4" s="1" t="str">
        <f t="shared" ref="AE4:AF4" si="1">L13</f>
        <v/>
      </c>
      <c r="AF4" s="1" t="str">
        <f t="shared" si="1"/>
        <v/>
      </c>
      <c r="AG4" s="4"/>
    </row>
    <row r="5" spans="1:37" x14ac:dyDescent="0.3">
      <c r="J5" s="2"/>
      <c r="K5" s="1" t="str">
        <f>IF(AND(I3=0,I7=0),"",IF(I3&gt;I7,F3,F7))</f>
        <v/>
      </c>
      <c r="L5" s="1" t="str">
        <f>IF(AND(I3=0,I7=0),"",IF(I3&gt;I7,G3,G7))</f>
        <v/>
      </c>
      <c r="M5" s="1" t="str">
        <f>IF(AND(I3=0,I7=0),"",IF(I3&gt;I7,H3,H7))</f>
        <v/>
      </c>
      <c r="N5" s="1">
        <f>AG3</f>
        <v>0</v>
      </c>
      <c r="O5" s="2"/>
      <c r="AD5" t="s">
        <v>88</v>
      </c>
    </row>
    <row r="6" spans="1:37" x14ac:dyDescent="0.3">
      <c r="A6" s="1">
        <v>8</v>
      </c>
      <c r="B6" s="1" t="e">
        <f>VLOOKUP(A6,'Round 8'!$AI$3:$AK$18,2,0)</f>
        <v>#N/A</v>
      </c>
      <c r="C6" s="1" t="e">
        <f>VLOOKUP(A6,'Round 8'!$AI$3:$AK$18,3,0)</f>
        <v>#N/A</v>
      </c>
      <c r="D6" s="1">
        <f>AB6</f>
        <v>0</v>
      </c>
      <c r="E6" s="2"/>
      <c r="J6" s="2"/>
      <c r="O6" s="2"/>
      <c r="Y6" s="1">
        <f>A6</f>
        <v>8</v>
      </c>
      <c r="Z6" s="1" t="e">
        <f>B6</f>
        <v>#N/A</v>
      </c>
      <c r="AA6" s="1" t="e">
        <f>C6</f>
        <v>#N/A</v>
      </c>
      <c r="AB6" s="4"/>
      <c r="AD6" s="1" t="str">
        <f>K21</f>
        <v/>
      </c>
      <c r="AE6" s="1" t="str">
        <f t="shared" ref="AE6:AF6" si="2">L21</f>
        <v/>
      </c>
      <c r="AF6" s="1" t="str">
        <f t="shared" si="2"/>
        <v/>
      </c>
      <c r="AG6" s="4"/>
      <c r="AI6" t="str">
        <f>IF(F3=K5,F7,F3)</f>
        <v/>
      </c>
      <c r="AJ6" t="e">
        <f>VLOOKUP(AI6,$A$2:$C$32,2,0)</f>
        <v>#N/A</v>
      </c>
      <c r="AK6" t="e">
        <f>VLOOKUP(AI6,$A$2:$C$32,3,0)</f>
        <v>#N/A</v>
      </c>
    </row>
    <row r="7" spans="1:37" x14ac:dyDescent="0.3">
      <c r="A7" s="3"/>
      <c r="E7" s="2"/>
      <c r="F7" s="1" t="str">
        <f>IF(AND(D6=0,D8=0),"",IF(D6&gt;D8,A6,A8))</f>
        <v/>
      </c>
      <c r="G7" s="1" t="str">
        <f>IF(AND(D6=0,D8=0),"",IF(D6&gt;D8,B6,B8))</f>
        <v/>
      </c>
      <c r="H7" s="1" t="str">
        <f>IF(AND(D6=0,D8=0),"",IF(D6&gt;D8,C6,C8))</f>
        <v/>
      </c>
      <c r="I7" s="1">
        <f>AB28</f>
        <v>0</v>
      </c>
      <c r="J7" s="2"/>
      <c r="O7" s="2"/>
      <c r="Y7" s="1">
        <f>A8</f>
        <v>9</v>
      </c>
      <c r="Z7" s="1" t="e">
        <f>B8</f>
        <v>#N/A</v>
      </c>
      <c r="AA7" s="1" t="e">
        <f>C8</f>
        <v>#N/A</v>
      </c>
      <c r="AB7" s="4"/>
      <c r="AD7" s="1" t="str">
        <f>K29</f>
        <v/>
      </c>
      <c r="AE7" s="1" t="str">
        <f t="shared" ref="AE7:AF7" si="3">L29</f>
        <v/>
      </c>
      <c r="AF7" s="1" t="str">
        <f t="shared" si="3"/>
        <v/>
      </c>
      <c r="AG7" s="4"/>
      <c r="AI7" t="str">
        <f>IF(F11=K13,F15,F11)</f>
        <v/>
      </c>
      <c r="AJ7" t="e">
        <f t="shared" ref="AJ7:AJ18" si="4">VLOOKUP(AI7,$A$2:$C$32,2,0)</f>
        <v>#N/A</v>
      </c>
      <c r="AK7" t="e">
        <f t="shared" ref="AK7:AK18" si="5">VLOOKUP(AI7,$A$2:$C$32,3,0)</f>
        <v>#N/A</v>
      </c>
    </row>
    <row r="8" spans="1:37" x14ac:dyDescent="0.3">
      <c r="A8" s="1">
        <v>9</v>
      </c>
      <c r="B8" s="1" t="e">
        <f>VLOOKUP(A8,'Round 8'!$AI$3:$AK$18,2,0)</f>
        <v>#N/A</v>
      </c>
      <c r="C8" s="1" t="e">
        <f>VLOOKUP(A8,'Round 8'!$AI$3:$AK$18,3,0)</f>
        <v>#N/A</v>
      </c>
      <c r="D8" s="1">
        <f>AB7</f>
        <v>0</v>
      </c>
      <c r="E8" s="2"/>
      <c r="O8" s="2"/>
      <c r="AD8" t="s">
        <v>91</v>
      </c>
      <c r="AI8" t="str">
        <f>IF(F19=K21,F23,F19)</f>
        <v/>
      </c>
      <c r="AJ8" t="e">
        <f t="shared" si="4"/>
        <v>#N/A</v>
      </c>
      <c r="AK8" t="e">
        <f t="shared" si="5"/>
        <v>#N/A</v>
      </c>
    </row>
    <row r="9" spans="1:37" x14ac:dyDescent="0.3">
      <c r="O9" s="2"/>
      <c r="P9" s="1" t="str">
        <f>IF(AND(N5=0,N13=0),"",IF(N5&gt;N13,K5,K13))</f>
        <v/>
      </c>
      <c r="Q9" s="1" t="str">
        <f>IF(AND(N5=0,N13=0),"",IF(N5&gt;N13,L5,L13))</f>
        <v/>
      </c>
      <c r="R9" s="1" t="str">
        <f>IF(AND(N5=0,N13=0),"",IF(N5&gt;N13,M5,M13))</f>
        <v/>
      </c>
      <c r="S9" s="1">
        <f>AG12</f>
        <v>0</v>
      </c>
      <c r="T9" s="2"/>
      <c r="Y9" s="1">
        <f>A10</f>
        <v>4</v>
      </c>
      <c r="Z9" s="1" t="e">
        <f t="shared" ref="Z9:AA9" si="6">B10</f>
        <v>#N/A</v>
      </c>
      <c r="AA9" s="1" t="e">
        <f t="shared" si="6"/>
        <v>#N/A</v>
      </c>
      <c r="AB9" s="4"/>
      <c r="AD9" s="1" t="str">
        <f>IF(K5=P9,K13,K5)</f>
        <v/>
      </c>
      <c r="AE9" s="1" t="str">
        <f>IF(AND(N5=0,N13=0),"",IF(L5=Q9,L13,L5))</f>
        <v/>
      </c>
      <c r="AF9" s="1" t="str">
        <f>IF(AND(N5=0,N13=0),"",IF(M5=R9,M13,M5))</f>
        <v/>
      </c>
      <c r="AG9" s="4"/>
      <c r="AI9" t="str">
        <f>IF(F27=K29,F31,F27)</f>
        <v/>
      </c>
      <c r="AJ9" t="e">
        <f t="shared" si="4"/>
        <v>#N/A</v>
      </c>
      <c r="AK9" t="e">
        <f t="shared" si="5"/>
        <v>#N/A</v>
      </c>
    </row>
    <row r="10" spans="1:37" x14ac:dyDescent="0.3">
      <c r="A10" s="1">
        <v>4</v>
      </c>
      <c r="B10" s="1" t="e">
        <f>VLOOKUP(A10,'Round 8'!$AI$3:$AK$18,2,0)</f>
        <v>#N/A</v>
      </c>
      <c r="C10" s="1" t="e">
        <f>VLOOKUP(A10,'Round 8'!$AI$3:$AK$18,3,0)</f>
        <v>#N/A</v>
      </c>
      <c r="D10" s="1">
        <f>AB9</f>
        <v>0</v>
      </c>
      <c r="E10" s="2"/>
      <c r="O10" s="2"/>
      <c r="T10" s="2"/>
      <c r="Y10" s="1">
        <f>A12</f>
        <v>13</v>
      </c>
      <c r="Z10" s="1" t="e">
        <f t="shared" ref="Z10:AA10" si="7">B12</f>
        <v>#N/A</v>
      </c>
      <c r="AA10" s="1" t="e">
        <f t="shared" si="7"/>
        <v>#N/A</v>
      </c>
      <c r="AB10" s="4"/>
      <c r="AD10" s="1" t="str">
        <f>IF(K21=P25,K29,K21)</f>
        <v/>
      </c>
      <c r="AE10" s="1" t="str">
        <f>IF(AND(N21=0,N29=0),"",IF(L21=Q25,L29,L21))</f>
        <v/>
      </c>
      <c r="AF10" s="1" t="str">
        <f>IF(AND(N21=0,N29=0),"",IF(M21=R25,M29,M21))</f>
        <v/>
      </c>
      <c r="AG10" s="4"/>
    </row>
    <row r="11" spans="1:37" x14ac:dyDescent="0.3">
      <c r="A11" s="3"/>
      <c r="E11" s="2"/>
      <c r="F11" s="1" t="str">
        <f>IF(AND(D10=0,D12=0),"",IF(D10&gt;D12,A10,A12))</f>
        <v/>
      </c>
      <c r="G11" s="1" t="str">
        <f>IF(AND(D10=0,D12=0),"",IF(D10&gt;D12,B10,B12))</f>
        <v/>
      </c>
      <c r="H11" s="1" t="str">
        <f>IF(AND(D10=0,D12=0),"",IF(D10&gt;D12,C10,C12))</f>
        <v/>
      </c>
      <c r="I11" s="1">
        <f>AB30</f>
        <v>0</v>
      </c>
      <c r="J11" s="2"/>
      <c r="O11" s="2"/>
      <c r="T11" s="2"/>
      <c r="AD11" t="s">
        <v>89</v>
      </c>
      <c r="AI11">
        <f>IF(A2=F3,A4,A2)</f>
        <v>1</v>
      </c>
      <c r="AJ11" t="e">
        <f t="shared" si="4"/>
        <v>#N/A</v>
      </c>
      <c r="AK11" t="e">
        <f t="shared" si="5"/>
        <v>#N/A</v>
      </c>
    </row>
    <row r="12" spans="1:37" x14ac:dyDescent="0.3">
      <c r="A12" s="1">
        <v>13</v>
      </c>
      <c r="B12" s="1" t="e">
        <f>VLOOKUP(A12,'Round 8'!$AI$3:$AK$18,2,0)</f>
        <v>#N/A</v>
      </c>
      <c r="C12" s="1" t="e">
        <f>VLOOKUP(A12,'Round 8'!$AI$3:$AK$18,3,0)</f>
        <v>#N/A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 t="e">
        <f t="shared" ref="Z12:AA12" si="8">B14</f>
        <v>#N/A</v>
      </c>
      <c r="AA12" s="1" t="e">
        <f t="shared" si="8"/>
        <v>#N/A</v>
      </c>
      <c r="AB12" s="4"/>
      <c r="AD12" s="1" t="str">
        <f>P9</f>
        <v/>
      </c>
      <c r="AE12" s="1" t="str">
        <f>Q9</f>
        <v/>
      </c>
      <c r="AF12" s="1" t="str">
        <f>R9</f>
        <v/>
      </c>
      <c r="AG12" s="4"/>
      <c r="AI12">
        <f>IF(A6=F7,A8,A6)</f>
        <v>8</v>
      </c>
      <c r="AJ12" t="e">
        <f t="shared" si="4"/>
        <v>#N/A</v>
      </c>
      <c r="AK12" t="e">
        <f t="shared" si="5"/>
        <v>#N/A</v>
      </c>
    </row>
    <row r="13" spans="1:37" x14ac:dyDescent="0.3">
      <c r="J13" s="2"/>
      <c r="K13" s="1" t="str">
        <f>IF(AND(I11=0,I15=0),"",IF(I11&gt;I15,F11,F15))</f>
        <v/>
      </c>
      <c r="L13" s="1" t="str">
        <f>IF(AND(I11=0,I15=0),"",IF(I11&gt;I15,G11,G15))</f>
        <v/>
      </c>
      <c r="M13" s="1" t="str">
        <f>IF(AND(I11=0,I15=0),"",IF(I11&gt;I15,H11,H15))</f>
        <v/>
      </c>
      <c r="N13" s="1">
        <f>AG4</f>
        <v>0</v>
      </c>
      <c r="O13" s="2"/>
      <c r="T13" s="2"/>
      <c r="Y13" s="1">
        <f>A16</f>
        <v>12</v>
      </c>
      <c r="Z13" s="1" t="e">
        <f t="shared" ref="Z13:AA13" si="9">B16</f>
        <v>#N/A</v>
      </c>
      <c r="AA13" s="1" t="e">
        <f t="shared" si="9"/>
        <v>#N/A</v>
      </c>
      <c r="AB13" s="4"/>
      <c r="AD13" s="1" t="str">
        <f>P25</f>
        <v/>
      </c>
      <c r="AE13" s="1" t="str">
        <f>Q25</f>
        <v/>
      </c>
      <c r="AF13" s="1" t="str">
        <f>R25</f>
        <v/>
      </c>
      <c r="AG13" s="4"/>
      <c r="AI13">
        <f>IF(A10=F11,A12,A10)</f>
        <v>4</v>
      </c>
      <c r="AJ13" t="e">
        <f t="shared" si="4"/>
        <v>#N/A</v>
      </c>
      <c r="AK13" t="e">
        <f t="shared" si="5"/>
        <v>#N/A</v>
      </c>
    </row>
    <row r="14" spans="1:37" x14ac:dyDescent="0.3">
      <c r="A14" s="1">
        <v>5</v>
      </c>
      <c r="B14" s="1" t="e">
        <f>VLOOKUP(A14,'Round 8'!$AI$3:$AK$18,2,0)</f>
        <v>#N/A</v>
      </c>
      <c r="C14" s="1" t="e">
        <f>VLOOKUP(A14,'Round 8'!$AI$3:$AK$18,3,0)</f>
        <v>#N/A</v>
      </c>
      <c r="D14" s="1">
        <f>AB12</f>
        <v>0</v>
      </c>
      <c r="E14" s="2"/>
      <c r="J14" s="2"/>
      <c r="T14" s="2"/>
      <c r="AI14">
        <f>IF(A14=F15,A16,A14)</f>
        <v>5</v>
      </c>
      <c r="AJ14" t="e">
        <f t="shared" si="4"/>
        <v>#N/A</v>
      </c>
      <c r="AK14" t="e">
        <f t="shared" si="5"/>
        <v>#N/A</v>
      </c>
    </row>
    <row r="15" spans="1:37" x14ac:dyDescent="0.3">
      <c r="A15" s="3"/>
      <c r="E15" s="2"/>
      <c r="F15" s="1" t="str">
        <f>IF(AND(D14=0,D16=0),"",IF(D14&gt;D16,A14,A16))</f>
        <v/>
      </c>
      <c r="G15" s="1" t="str">
        <f>IF(AND(D14=0,D16=0),"",IF(D14&gt;D16,B14,B16))</f>
        <v/>
      </c>
      <c r="H15" s="1" t="str">
        <f>IF(AND(D14=0,D16=0),"",IF(D14&gt;D16,C14,C16))</f>
        <v/>
      </c>
      <c r="I15" s="1">
        <f>AB31</f>
        <v>0</v>
      </c>
      <c r="J15" s="2"/>
      <c r="T15" s="2"/>
      <c r="Y15" s="1">
        <f>A18</f>
        <v>2</v>
      </c>
      <c r="Z15" s="1" t="e">
        <f t="shared" ref="Z15:AA15" si="10">B18</f>
        <v>#N/A</v>
      </c>
      <c r="AA15" s="1" t="e">
        <f t="shared" si="10"/>
        <v>#N/A</v>
      </c>
      <c r="AB15" s="4"/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2</v>
      </c>
      <c r="AJ15" t="e">
        <f t="shared" si="4"/>
        <v>#N/A</v>
      </c>
      <c r="AK15" t="e">
        <f t="shared" si="5"/>
        <v>#N/A</v>
      </c>
    </row>
    <row r="16" spans="1:37" x14ac:dyDescent="0.3">
      <c r="A16" s="1">
        <v>12</v>
      </c>
      <c r="B16" s="1" t="e">
        <f>VLOOKUP(A16,'Round 8'!$AI$3:$AK$18,2,0)</f>
        <v>#N/A</v>
      </c>
      <c r="C16" s="1" t="e">
        <f>VLOOKUP(A16,'Round 8'!$AI$3:$AK$18,3,0)</f>
        <v>#N/A</v>
      </c>
      <c r="D16" s="1">
        <f>AB13</f>
        <v>0</v>
      </c>
      <c r="E16" s="2"/>
      <c r="T16" s="2"/>
      <c r="Y16" s="1">
        <f>A20</f>
        <v>15</v>
      </c>
      <c r="Z16" s="1" t="e">
        <f t="shared" ref="Z16:AA16" si="11">B20</f>
        <v>#N/A</v>
      </c>
      <c r="AA16" s="1" t="e">
        <f t="shared" si="11"/>
        <v>#N/A</v>
      </c>
      <c r="AB16" s="4"/>
      <c r="AD16">
        <v>1</v>
      </c>
      <c r="AE16" t="str">
        <f>V17</f>
        <v/>
      </c>
      <c r="AF16" t="str">
        <f>W17</f>
        <v/>
      </c>
      <c r="AG16">
        <v>50</v>
      </c>
      <c r="AI16">
        <f>IF(A22=F23,A24,A22)</f>
        <v>7</v>
      </c>
      <c r="AJ16" t="e">
        <f t="shared" si="4"/>
        <v>#N/A</v>
      </c>
      <c r="AK16" t="e">
        <f t="shared" si="5"/>
        <v>#N/A</v>
      </c>
    </row>
    <row r="17" spans="1:37" x14ac:dyDescent="0.3">
      <c r="T17" s="2"/>
      <c r="U17" s="5" t="str">
        <f>IF(AND(S9=0,S25=0),"",IF(S9&gt;S25,P9,P25))</f>
        <v/>
      </c>
      <c r="V17" s="5" t="str">
        <f>IF(AND(S9=0,S25=0),"",IF(S9&gt;S25,Q9,Q25))</f>
        <v/>
      </c>
      <c r="W17" s="5" t="str">
        <f>IF(AND(S9=0,S25=0),"",IF(S9&gt;S25,R9,R25))</f>
        <v/>
      </c>
      <c r="AD17">
        <v>2</v>
      </c>
      <c r="AE17" t="str">
        <f>IF(V17="","",IF(Q9=V17,Q25,Q9))</f>
        <v/>
      </c>
      <c r="AF17" t="str">
        <f>IF(W17="","",IF(R9=W17,R25,R9))</f>
        <v/>
      </c>
      <c r="AG17">
        <v>40</v>
      </c>
      <c r="AI17">
        <f>IF(A26=F27,A28,A26)</f>
        <v>3</v>
      </c>
      <c r="AJ17" t="e">
        <f t="shared" si="4"/>
        <v>#N/A</v>
      </c>
      <c r="AK17" t="e">
        <f t="shared" si="5"/>
        <v>#N/A</v>
      </c>
    </row>
    <row r="18" spans="1:37" x14ac:dyDescent="0.3">
      <c r="A18" s="1">
        <v>2</v>
      </c>
      <c r="B18" s="1" t="e">
        <f>VLOOKUP(A18,'Round 8'!$AI$3:$AK$18,2,0)</f>
        <v>#N/A</v>
      </c>
      <c r="C18" s="1" t="e">
        <f>VLOOKUP(A18,'Round 8'!$AI$3:$AK$18,3,0)</f>
        <v>#N/A</v>
      </c>
      <c r="D18" s="1">
        <f>AB15</f>
        <v>0</v>
      </c>
      <c r="E18" s="2"/>
      <c r="T18" s="2"/>
      <c r="Y18" s="1">
        <f>A22</f>
        <v>7</v>
      </c>
      <c r="Z18" s="1" t="e">
        <f t="shared" ref="Z18:AA18" si="12">B22</f>
        <v>#N/A</v>
      </c>
      <c r="AA18" s="1" t="e">
        <f t="shared" si="12"/>
        <v>#N/A</v>
      </c>
      <c r="AB18" s="4"/>
      <c r="AD18">
        <v>3</v>
      </c>
      <c r="AE18" t="str">
        <f>IF(AG9&gt;AG10,AE9,IF(AG10&gt;AG9,AE10,IF(AD9&lt;AD10,AE9,AE10)))</f>
        <v/>
      </c>
      <c r="AF18" t="str">
        <f>IF(AG9&gt;AG10,AF9,IF(AG10&gt;AG9,AF10,IF(AD9&lt;AD10,AF9,AF10)))</f>
        <v/>
      </c>
      <c r="AG18">
        <v>30</v>
      </c>
      <c r="AI18">
        <f>IF(A30=F31,A32,A30)</f>
        <v>6</v>
      </c>
      <c r="AJ18" t="e">
        <f t="shared" si="4"/>
        <v>#N/A</v>
      </c>
      <c r="AK18" t="e">
        <f t="shared" si="5"/>
        <v>#N/A</v>
      </c>
    </row>
    <row r="19" spans="1:37" x14ac:dyDescent="0.3">
      <c r="A19" s="3"/>
      <c r="E19" s="2"/>
      <c r="F19" s="1" t="str">
        <f>IF(AND(D18=0,D20=0),"",IF(D18&gt;D20,A18,A20))</f>
        <v/>
      </c>
      <c r="G19" s="1" t="str">
        <f>IF(AND(D18=0,D20=0),"",IF(D18&gt;D20,B18,B20))</f>
        <v/>
      </c>
      <c r="H19" s="1" t="str">
        <f>IF(AND(D18=0,D20=0),"",IF(D18&gt;D20,C18,C20))</f>
        <v/>
      </c>
      <c r="I19" s="1">
        <f>AB33</f>
        <v>0</v>
      </c>
      <c r="J19" s="2"/>
      <c r="T19" s="2"/>
      <c r="Y19" s="1">
        <f>A24</f>
        <v>10</v>
      </c>
      <c r="Z19" s="1" t="e">
        <f t="shared" ref="Z19:AA19" si="13">B24</f>
        <v>#N/A</v>
      </c>
      <c r="AA19" s="1" t="e">
        <f t="shared" si="13"/>
        <v>#N/A</v>
      </c>
      <c r="AB19" s="4"/>
      <c r="AD19">
        <v>4</v>
      </c>
      <c r="AE19" t="str">
        <f>IF(AG9&gt;AG10,AE10,IF(AG10&gt;AG9,AE9,IF(AD9&lt;AD10,AE10,AE9)))</f>
        <v/>
      </c>
      <c r="AF19" t="str">
        <f>IF(AG9&gt;AG10,AF10,IF(AG10&gt;AG9,AF9,IF(AD9&lt;AD10,AF10,AF9)))</f>
        <v/>
      </c>
      <c r="AG19">
        <v>25</v>
      </c>
    </row>
    <row r="20" spans="1:37" x14ac:dyDescent="0.3">
      <c r="A20" s="1">
        <v>15</v>
      </c>
      <c r="B20" s="1" t="e">
        <f>VLOOKUP(A20,'Round 8'!$AI$3:$AK$18,2,0)</f>
        <v>#N/A</v>
      </c>
      <c r="C20" s="1" t="e">
        <f>VLOOKUP(A20,'Round 8'!$AI$3:$AK$18,3,0)</f>
        <v>#N/A</v>
      </c>
      <c r="D20" s="1">
        <f>AB16</f>
        <v>0</v>
      </c>
      <c r="E20" s="2"/>
      <c r="J20" s="2"/>
      <c r="T20" s="2"/>
      <c r="AD20">
        <v>5</v>
      </c>
      <c r="AE20" t="str">
        <f>IF(OR($L$5="",$L$13="",$L$21="",$L$29=""),"",VLOOKUP(SMALL($AI$6:$AI$9,1),$AI$6:$AK$9,2,0))</f>
        <v/>
      </c>
      <c r="AF20" t="str">
        <f>IF(OR($L$5="",$L$13="",$L$21="",$L$29=""),"",VLOOKUP(SMALL($AI$6:$AI$9,1),$AI$6:$AK$9,3,0))</f>
        <v/>
      </c>
      <c r="AG20">
        <v>20</v>
      </c>
    </row>
    <row r="21" spans="1:37" x14ac:dyDescent="0.3">
      <c r="J21" s="2"/>
      <c r="K21" s="1" t="str">
        <f>IF(AND(I19=0,I23=0),"",IF(I19&gt;I23,F19,F23))</f>
        <v/>
      </c>
      <c r="L21" s="1" t="str">
        <f>IF(AND(I19=0,I23=0),"",IF(I19&gt;I23,G19,G23))</f>
        <v/>
      </c>
      <c r="M21" s="1" t="str">
        <f>IF(AND(I19=0,I23=0),"",IF(I19&gt;I23,H19,H23))</f>
        <v/>
      </c>
      <c r="N21" s="1">
        <f>AG6</f>
        <v>0</v>
      </c>
      <c r="O21" s="2"/>
      <c r="T21" s="2"/>
      <c r="Y21" s="1">
        <f>A26</f>
        <v>3</v>
      </c>
      <c r="Z21" s="1" t="e">
        <f t="shared" ref="Z21:AA21" si="14">B26</f>
        <v>#N/A</v>
      </c>
      <c r="AA21" s="1" t="e">
        <f t="shared" si="14"/>
        <v>#N/A</v>
      </c>
      <c r="AB21" s="4"/>
      <c r="AD21">
        <v>6</v>
      </c>
      <c r="AE21" t="str">
        <f>IF(OR($L$5="",$L$13="",$L$21="",$L$29=""),"",VLOOKUP(SMALL($AI$6:$AI$9,2),$AI$6:$AK$9,2,0))</f>
        <v/>
      </c>
      <c r="AF21" t="str">
        <f>IF(OR($L$5="",$L$13="",$L$21="",$L$29=""),"",VLOOKUP(SMALL($AI$6:$AI$9,2),$AI$6:$AK$9,3,0))</f>
        <v/>
      </c>
      <c r="AG21">
        <v>20</v>
      </c>
    </row>
    <row r="22" spans="1:37" x14ac:dyDescent="0.3">
      <c r="A22" s="1">
        <v>7</v>
      </c>
      <c r="B22" s="1" t="e">
        <f>VLOOKUP(A22,'Round 8'!$AI$3:$AK$18,2,0)</f>
        <v>#N/A</v>
      </c>
      <c r="C22" s="1" t="e">
        <f>VLOOKUP(A22,'Round 8'!$AI$3:$AK$18,3,0)</f>
        <v>#N/A</v>
      </c>
      <c r="D22" s="1">
        <f>AB18</f>
        <v>0</v>
      </c>
      <c r="E22" s="2"/>
      <c r="J22" s="2"/>
      <c r="O22" s="2"/>
      <c r="T22" s="2"/>
      <c r="Y22" s="1">
        <f>A28</f>
        <v>14</v>
      </c>
      <c r="Z22" s="1" t="e">
        <f t="shared" ref="Z22:AA22" si="15">B28</f>
        <v>#N/A</v>
      </c>
      <c r="AA22" s="1" t="e">
        <f t="shared" si="15"/>
        <v>#N/A</v>
      </c>
      <c r="AB22" s="4"/>
      <c r="AD22">
        <v>7</v>
      </c>
      <c r="AE22" t="str">
        <f>IF(OR($L$5="",$L$13="",$L$21="",$L$29=""),"",VLOOKUP(SMALL($AI$6:$AI$9,3),$AI$6:$AK$9,2,0))</f>
        <v/>
      </c>
      <c r="AF22" t="str">
        <f>IF(OR($L$5="",$L$13="",$L$21="",$L$29=""),"",VLOOKUP(SMALL($AI$6:$AI$9,3),$AI$6:$AK$9,3,0))</f>
        <v/>
      </c>
      <c r="AG22">
        <v>20</v>
      </c>
    </row>
    <row r="23" spans="1:37" x14ac:dyDescent="0.3">
      <c r="A23" s="3"/>
      <c r="E23" s="2"/>
      <c r="F23" s="1" t="str">
        <f>IF(AND(D22=0,D24=0),"",IF(D22&gt;D24,A22,A24))</f>
        <v/>
      </c>
      <c r="G23" s="1" t="str">
        <f>IF(AND(D22=0,D24=0),"",IF(D22&gt;D24,B22,B24))</f>
        <v/>
      </c>
      <c r="H23" s="1" t="str">
        <f>IF(AND(D22=0,D24=0),"",IF(D22&gt;D24,C22,C24))</f>
        <v/>
      </c>
      <c r="I23" s="1">
        <f>AB34</f>
        <v>0</v>
      </c>
      <c r="J23" s="2"/>
      <c r="O23" s="2"/>
      <c r="T23" s="2"/>
      <c r="AD23">
        <v>8</v>
      </c>
      <c r="AE23" t="str">
        <f>IF(OR($L$5="",$L$13="",$L$21="",$L$29=""),"",VLOOKUP(SMALL($AI$6:$AI$9,4),$AI$6:$AK$9,2,0))</f>
        <v/>
      </c>
      <c r="AF23" t="str">
        <f>IF(OR($L$5="",$L$13="",$L$21="",$L$29=""),"",VLOOKUP(SMALL($AI$6:$AI$9,4),$AI$6:$AK$9,3,0))</f>
        <v/>
      </c>
      <c r="AG23">
        <v>20</v>
      </c>
    </row>
    <row r="24" spans="1:37" x14ac:dyDescent="0.3">
      <c r="A24" s="1">
        <v>10</v>
      </c>
      <c r="B24" s="1" t="e">
        <f>VLOOKUP(A24,'Round 8'!$AI$3:$AK$18,2,0)</f>
        <v>#N/A</v>
      </c>
      <c r="C24" s="1" t="e">
        <f>VLOOKUP(A24,'Round 8'!$AI$3:$AK$18,3,0)</f>
        <v>#N/A</v>
      </c>
      <c r="D24" s="1">
        <f>AB19</f>
        <v>0</v>
      </c>
      <c r="E24" s="2"/>
      <c r="O24" s="2"/>
      <c r="T24" s="2"/>
      <c r="Y24" s="1">
        <f>A30</f>
        <v>6</v>
      </c>
      <c r="Z24" s="1" t="e">
        <f t="shared" ref="Z24:AA24" si="16">B30</f>
        <v>#N/A</v>
      </c>
      <c r="AA24" s="1" t="e">
        <f t="shared" si="16"/>
        <v>#N/A</v>
      </c>
      <c r="AB24" s="4"/>
      <c r="AD24">
        <v>9</v>
      </c>
      <c r="AE24" t="str">
        <f>IF(OR($G$3="",$G$7="",$G$11="",$G$15="",$G$19="",$G$23="",$G$27="",$G$31=""),"",VLOOKUP(SMALL($AI$11:$AI$18,1),$AI$11:$AK$18,2,0))</f>
        <v/>
      </c>
      <c r="AF24" t="str">
        <f>IF(OR($G$3="",$G$7="",$G$11="",$G$15="",$G$19="",$G$23="",$G$27="",$G$31=""),"",VLOOKUP(SMALL($AI$11:$AI$18,1),$AI$11:$AK$18,3,0))</f>
        <v/>
      </c>
      <c r="AG24">
        <v>10</v>
      </c>
    </row>
    <row r="25" spans="1:37" x14ac:dyDescent="0.3">
      <c r="O25" s="2"/>
      <c r="P25" s="1" t="str">
        <f>IF(AND(N21=0,N29=0),"",IF(N21&gt;N29,K21,K29))</f>
        <v/>
      </c>
      <c r="Q25" s="1" t="str">
        <f>IF(AND(N21=0,N29=0),"",IF(N21&gt;N29,L21,L29))</f>
        <v/>
      </c>
      <c r="R25" s="1" t="str">
        <f>IF(AND(N21=0,N29=0),"",IF(N21&gt;N29,M21,M29))</f>
        <v/>
      </c>
      <c r="S25" s="1">
        <f>AG13</f>
        <v>0</v>
      </c>
      <c r="T25" s="2"/>
      <c r="Y25" s="1">
        <f>A32</f>
        <v>11</v>
      </c>
      <c r="Z25" s="1" t="e">
        <f t="shared" ref="Z25:AA25" si="17">B32</f>
        <v>#N/A</v>
      </c>
      <c r="AA25" s="1" t="e">
        <f t="shared" si="17"/>
        <v>#N/A</v>
      </c>
      <c r="AB25" s="4"/>
      <c r="AD25">
        <v>10</v>
      </c>
      <c r="AE25" t="str">
        <f>IF(OR($G$3="",$G$7="",$G$11="",$G$15="",$G$19="",$G$23="",$G$27="",$G$31=""),"",VLOOKUP(SMALL($AI$11:$AI$18,2),$AI$11:$AK$18,2,0))</f>
        <v/>
      </c>
      <c r="AF25" t="str">
        <f>IF(OR($G$3="",$G$7="",$G$11="",$G$15="",$G$19="",$G$23="",$G$27="",$G$31=""),"",VLOOKUP(SMALL($AI$11:$AI$18,2),$AI$11:$AK$18,3,0))</f>
        <v/>
      </c>
      <c r="AG25">
        <v>10</v>
      </c>
    </row>
    <row r="26" spans="1:37" x14ac:dyDescent="0.3">
      <c r="A26" s="1">
        <v>3</v>
      </c>
      <c r="B26" s="1" t="e">
        <f>VLOOKUP(A26,'Round 8'!$AI$3:$AK$18,2,0)</f>
        <v>#N/A</v>
      </c>
      <c r="C26" s="1" t="e">
        <f>VLOOKUP(A26,'Round 8'!$AI$3:$AK$18,3,0)</f>
        <v>#N/A</v>
      </c>
      <c r="D26" s="1">
        <f>AB21</f>
        <v>0</v>
      </c>
      <c r="E26" s="2"/>
      <c r="O26" s="2"/>
      <c r="Y26" s="2"/>
      <c r="Z26" s="2"/>
      <c r="AA26" s="2"/>
      <c r="AB26" s="2"/>
      <c r="AD26">
        <v>11</v>
      </c>
      <c r="AE26" t="str">
        <f>IF(OR($G$3="",$G$7="",$G$11="",$G$15="",$G$19="",$G$23="",$G$27="",$G$31=""),"",VLOOKUP(SMALL($AI$11:$AI$18,3),$AI$11:$AK$18,2,0))</f>
        <v/>
      </c>
      <c r="AF26" t="str">
        <f>IF(OR($G$3="",$G$7="",$G$11="",$G$15="",$G$19="",$G$23="",$G$27="",$G$31=""),"",VLOOKUP(SMALL($AI$11:$AI$18,3),$AI$11:$AK$18,3,0))</f>
        <v/>
      </c>
      <c r="AG26">
        <v>10</v>
      </c>
    </row>
    <row r="27" spans="1:37" x14ac:dyDescent="0.3">
      <c r="A27" s="3"/>
      <c r="E27" s="2"/>
      <c r="F27" s="1" t="str">
        <f>IF(AND(D26=0,D28=0),"",IF(D26&gt;D28,A26,A28))</f>
        <v/>
      </c>
      <c r="G27" s="1" t="str">
        <f>IF(AND(D26=0,D28=0),"",IF(D26&gt;D28,B26,B28))</f>
        <v/>
      </c>
      <c r="H27" s="1" t="str">
        <f>IF(AND(D26=0,D28=0),"",IF(D26&gt;D28,C26,C28))</f>
        <v/>
      </c>
      <c r="I27" s="1">
        <f>AB36</f>
        <v>0</v>
      </c>
      <c r="J27" s="2"/>
      <c r="O27" s="2"/>
      <c r="Y27" s="1" t="str">
        <f>F3</f>
        <v/>
      </c>
      <c r="Z27" s="1" t="str">
        <f t="shared" ref="Z27:AA27" si="18">G3</f>
        <v/>
      </c>
      <c r="AA27" s="1" t="str">
        <f t="shared" si="18"/>
        <v/>
      </c>
      <c r="AB27" s="4"/>
      <c r="AD27">
        <v>12</v>
      </c>
      <c r="AE27" t="str">
        <f>IF(OR($G$3="",$G$7="",$G$11="",$G$15="",$G$19="",$G$23="",$G$27="",$G$31=""),"",VLOOKUP(SMALL($AI$11:$AI$18,4),$AI$11:$AK$18,2,0))</f>
        <v/>
      </c>
      <c r="AF27" t="str">
        <f>IF(OR($G$3="",$G$7="",$G$11="",$G$15="",$G$19="",$G$23="",$G$27="",$G$31=""),"",VLOOKUP(SMALL($AI$11:$AI$18,4),$AI$11:$AK$18,3,0))</f>
        <v/>
      </c>
      <c r="AG27">
        <v>10</v>
      </c>
    </row>
    <row r="28" spans="1:37" x14ac:dyDescent="0.3">
      <c r="A28" s="1">
        <v>14</v>
      </c>
      <c r="B28" s="1" t="e">
        <f>VLOOKUP(A28,'Round 8'!$AI$3:$AK$18,2,0)</f>
        <v>#N/A</v>
      </c>
      <c r="C28" s="1" t="e">
        <f>VLOOKUP(A28,'Round 8'!$AI$3:$AK$18,3,0)</f>
        <v>#N/A</v>
      </c>
      <c r="D28" s="1">
        <f>AB22</f>
        <v>0</v>
      </c>
      <c r="E28" s="2"/>
      <c r="J28" s="2"/>
      <c r="O28" s="2"/>
      <c r="Y28" s="1" t="str">
        <f>F7</f>
        <v/>
      </c>
      <c r="Z28" s="1" t="str">
        <f t="shared" ref="Z28:AA28" si="19">G7</f>
        <v/>
      </c>
      <c r="AA28" s="1" t="str">
        <f t="shared" si="19"/>
        <v/>
      </c>
      <c r="AB28" s="4"/>
      <c r="AD28">
        <v>13</v>
      </c>
      <c r="AE28" t="str">
        <f>IF(OR($G$3="",$G$7="",$G$11="",$G$15="",$G$19="",$G$23="",$G$27="",$G$31=""),"",VLOOKUP(SMALL($AI$11:$AI$18,5),$AI$11:$AK$18,2,0))</f>
        <v/>
      </c>
      <c r="AF28" t="str">
        <f>IF(OR($G$3="",$G$7="",$G$11="",$G$15="",$G$19="",$G$23="",$G$27="",$G$31=""),"",VLOOKUP(SMALL($AI$11:$AI$18,5),$AI$11:$AK$18,3,0))</f>
        <v/>
      </c>
      <c r="AG28">
        <v>10</v>
      </c>
    </row>
    <row r="29" spans="1:37" x14ac:dyDescent="0.3">
      <c r="J29" s="2"/>
      <c r="K29" s="1" t="str">
        <f>IF(AND(I27=0,I31=0),"",IF(I27&gt;I31,F27,F31))</f>
        <v/>
      </c>
      <c r="L29" s="1" t="str">
        <f>IF(AND(I27=0,I31=0),"",IF(I27&gt;I31,G27,G31))</f>
        <v/>
      </c>
      <c r="M29" s="1" t="str">
        <f>IF(AND(I27=0,I31=0),"",IF(I27&gt;I31,H27,H31))</f>
        <v/>
      </c>
      <c r="N29" s="1">
        <f>AG7</f>
        <v>0</v>
      </c>
      <c r="O29" s="2"/>
      <c r="AD29">
        <v>14</v>
      </c>
      <c r="AE29" t="str">
        <f>IF(OR($G$3="",$G$7="",$G$11="",$G$15="",$G$19="",$G$23="",$G$27="",$G$31=""),"",VLOOKUP(SMALL($AI$11:$AI$18,6),$AI$11:$AK$18,2,0))</f>
        <v/>
      </c>
      <c r="AF29" t="str">
        <f>IF(OR($G$3="",$G$7="",$G$11="",$G$15="",$G$19="",$G$23="",$G$27="",$G$31=""),"",VLOOKUP(SMALL($AI$11:$AI$18,6),$AI$11:$AK$18,3,0))</f>
        <v/>
      </c>
      <c r="AG29">
        <v>10</v>
      </c>
    </row>
    <row r="30" spans="1:37" x14ac:dyDescent="0.3">
      <c r="A30" s="1">
        <v>6</v>
      </c>
      <c r="B30" s="1" t="e">
        <f>VLOOKUP(A30,'Round 8'!$AI$3:$AK$18,2,0)</f>
        <v>#N/A</v>
      </c>
      <c r="C30" s="1" t="e">
        <f>VLOOKUP(A30,'Round 8'!$AI$3:$AK$18,3,0)</f>
        <v>#N/A</v>
      </c>
      <c r="D30" s="1">
        <f>AB24</f>
        <v>0</v>
      </c>
      <c r="E30" s="2"/>
      <c r="J30" s="2"/>
      <c r="Y30" s="1" t="str">
        <f>F11</f>
        <v/>
      </c>
      <c r="Z30" s="1" t="str">
        <f t="shared" ref="Z30:AA30" si="20">G11</f>
        <v/>
      </c>
      <c r="AA30" s="1" t="str">
        <f t="shared" si="20"/>
        <v/>
      </c>
      <c r="AB30" s="4"/>
      <c r="AD30">
        <v>15</v>
      </c>
      <c r="AE30" t="str">
        <f>IF(OR($G$3="",$G$7="",$G$11="",$G$15="",$G$19="",$G$23="",$G$27="",$G$31=""),"",VLOOKUP(SMALL($AI$11:$AI$18,7),$AI$11:$AK$18,2,0))</f>
        <v/>
      </c>
      <c r="AF30" t="str">
        <f>IF(OR($G$3="",$G$7="",$G$11="",$G$15="",$G$19="",$G$23="",$G$27="",$G$31=""),"",VLOOKUP(SMALL($AI$11:$AI$18,7),$AI$11:$AK$18,3,0))</f>
        <v/>
      </c>
      <c r="AG30">
        <v>10</v>
      </c>
    </row>
    <row r="31" spans="1:37" x14ac:dyDescent="0.3">
      <c r="A31" s="3"/>
      <c r="E31" s="2"/>
      <c r="F31" s="1" t="str">
        <f>IF(AND(D30=0,D32=0),"",IF(D30&gt;D32,A30,A32))</f>
        <v/>
      </c>
      <c r="G31" s="1" t="str">
        <f>IF(AND(D30=0,D32=0),"",IF(D30&gt;D32,B30,B32))</f>
        <v/>
      </c>
      <c r="H31" s="1" t="str">
        <f>IF(AND(D30=0,D32=0),"",IF(D30&gt;D32,C30,C32))</f>
        <v/>
      </c>
      <c r="I31" s="1">
        <f>AB37</f>
        <v>0</v>
      </c>
      <c r="J31" s="2"/>
      <c r="P31" s="1" t="str">
        <f>AD9</f>
        <v/>
      </c>
      <c r="Q31" s="1" t="str">
        <f>AE9</f>
        <v/>
      </c>
      <c r="R31" s="1" t="str">
        <f>AF9</f>
        <v/>
      </c>
      <c r="S31" s="1">
        <f>AG9</f>
        <v>0</v>
      </c>
      <c r="T31" s="2"/>
      <c r="Y31" s="1" t="str">
        <f>F15</f>
        <v/>
      </c>
      <c r="Z31" s="1" t="str">
        <f t="shared" ref="Z31:AA31" si="21">G15</f>
        <v/>
      </c>
      <c r="AA31" s="1" t="str">
        <f t="shared" si="21"/>
        <v/>
      </c>
      <c r="AB31" s="4"/>
      <c r="AD31">
        <v>16</v>
      </c>
      <c r="AE31" t="str">
        <f>IF(OR($G$3="",$G$7="",$G$11="",$G$15="",$G$19="",$G$23="",$G$27="",$G$31=""),"",VLOOKUP(SMALL($AI$11:$AI$18,8),$AI$11:$AK$18,2,0))</f>
        <v/>
      </c>
      <c r="AF31" t="str">
        <f>IF(OR($G$3="",$G$7="",$G$11="",$G$15="",$G$19="",$G$23="",$G$27="",$G$31=""),"",VLOOKUP(SMALL($AI$11:$AI$18,8),$AI$11:$AK$18,3,0))</f>
        <v/>
      </c>
      <c r="AG31">
        <v>10</v>
      </c>
    </row>
    <row r="32" spans="1:37" x14ac:dyDescent="0.3">
      <c r="A32" s="1">
        <v>11</v>
      </c>
      <c r="B32" s="1" t="e">
        <f>VLOOKUP(A32,'Round 8'!$AI$3:$AK$18,2,0)</f>
        <v>#N/A</v>
      </c>
      <c r="C32" s="1" t="e">
        <f>VLOOKUP(A32,'Round 8'!$AI$3:$AK$18,3,0)</f>
        <v>#N/A</v>
      </c>
      <c r="D32" s="1">
        <f>AB25</f>
        <v>0</v>
      </c>
      <c r="E32" s="2"/>
      <c r="T32" s="2"/>
      <c r="U32" s="1"/>
      <c r="V32" s="1" t="str">
        <f>AE18</f>
        <v/>
      </c>
      <c r="W32" s="1" t="str">
        <f>AF18</f>
        <v/>
      </c>
      <c r="AD32">
        <v>17</v>
      </c>
      <c r="AE32" t="e">
        <f>VLOOKUP(Table59131721252933[[#This Row],[Final]],'Round 8'!$X$19:$AG$27,3,0)</f>
        <v>#N/A</v>
      </c>
      <c r="AF32" t="e">
        <f>VLOOKUP(Table59131721252933[[#This Row],[Final]],'Round 8'!$X$19:$AG$27,4,0)</f>
        <v>#N/A</v>
      </c>
      <c r="AG32" t="e">
        <f>VLOOKUP(Table59131721252933[[#This Row],[Final]],'Round 8'!$X$19:$AG$27,10,0)</f>
        <v>#N/A</v>
      </c>
    </row>
    <row r="33" spans="16:33" x14ac:dyDescent="0.3">
      <c r="P33" s="1" t="str">
        <f>AD10</f>
        <v/>
      </c>
      <c r="Q33" s="1" t="str">
        <f>AE10</f>
        <v/>
      </c>
      <c r="R33" s="1" t="str">
        <f>AF10</f>
        <v/>
      </c>
      <c r="S33" s="1">
        <f>AG10</f>
        <v>0</v>
      </c>
      <c r="T33" s="2"/>
      <c r="Y33" s="1" t="str">
        <f>F19</f>
        <v/>
      </c>
      <c r="Z33" s="1" t="str">
        <f>G19</f>
        <v/>
      </c>
      <c r="AA33" s="1" t="str">
        <f>H19</f>
        <v/>
      </c>
      <c r="AB33" s="4"/>
      <c r="AD33">
        <v>18</v>
      </c>
      <c r="AE33" t="e">
        <f>VLOOKUP(Table59131721252933[[#This Row],[Final]],'Round 8'!$X$19:$AG$27,3,0)</f>
        <v>#N/A</v>
      </c>
      <c r="AF33" t="e">
        <f>VLOOKUP(Table59131721252933[[#This Row],[Final]],'Round 8'!$X$19:$AG$27,4,0)</f>
        <v>#N/A</v>
      </c>
      <c r="AG33" t="e">
        <f>VLOOKUP(Table59131721252933[[#This Row],[Final]],'Round 8'!$X$19:$AG$27,10,0)</f>
        <v>#N/A</v>
      </c>
    </row>
    <row r="34" spans="16:33" x14ac:dyDescent="0.3">
      <c r="Y34" s="1" t="str">
        <f>F23</f>
        <v/>
      </c>
      <c r="Z34" s="1" t="str">
        <f>G23</f>
        <v/>
      </c>
      <c r="AA34" s="1" t="str">
        <f>H23</f>
        <v/>
      </c>
      <c r="AB34" s="4"/>
      <c r="AD34">
        <v>19</v>
      </c>
      <c r="AE34" t="e">
        <f>VLOOKUP(Table59131721252933[[#This Row],[Final]],'Round 8'!$X$19:$AG$27,3,0)</f>
        <v>#N/A</v>
      </c>
      <c r="AF34" t="e">
        <f>VLOOKUP(Table59131721252933[[#This Row],[Final]],'Round 8'!$X$19:$AG$27,4,0)</f>
        <v>#N/A</v>
      </c>
      <c r="AG34" t="e">
        <f>VLOOKUP(Table59131721252933[[#This Row],[Final]],'Round 8'!$X$19:$AG$27,10,0)</f>
        <v>#N/A</v>
      </c>
    </row>
    <row r="35" spans="16:33" x14ac:dyDescent="0.3">
      <c r="AD35">
        <v>20</v>
      </c>
      <c r="AE35" t="e">
        <f>VLOOKUP(Table59131721252933[[#This Row],[Final]],'Round 8'!$X$19:$AG$27,3,0)</f>
        <v>#N/A</v>
      </c>
      <c r="AF35" t="e">
        <f>VLOOKUP(Table59131721252933[[#This Row],[Final]],'Round 8'!$X$19:$AG$27,4,0)</f>
        <v>#N/A</v>
      </c>
      <c r="AG35" t="e">
        <f>VLOOKUP(Table59131721252933[[#This Row],[Final]],'Round 8'!$X$19:$AG$27,10,0)</f>
        <v>#N/A</v>
      </c>
    </row>
    <row r="36" spans="16:33" x14ac:dyDescent="0.3">
      <c r="Y36" s="1" t="str">
        <f>F27</f>
        <v/>
      </c>
      <c r="Z36" s="1" t="str">
        <f>G27</f>
        <v/>
      </c>
      <c r="AA36" s="1" t="str">
        <f>H27</f>
        <v/>
      </c>
      <c r="AB36" s="4"/>
      <c r="AD36">
        <v>21</v>
      </c>
      <c r="AE36" t="e">
        <f>VLOOKUP(Table59131721252933[[#This Row],[Final]],'Round 8'!$X$19:$AG$27,3,0)</f>
        <v>#N/A</v>
      </c>
      <c r="AF36" t="e">
        <f>VLOOKUP(Table59131721252933[[#This Row],[Final]],'Round 8'!$X$19:$AG$27,4,0)</f>
        <v>#N/A</v>
      </c>
      <c r="AG36" t="e">
        <f>VLOOKUP(Table59131721252933[[#This Row],[Final]],'Round 8'!$X$19:$AG$27,10,0)</f>
        <v>#N/A</v>
      </c>
    </row>
    <row r="37" spans="16:33" x14ac:dyDescent="0.3">
      <c r="Y37" s="1" t="str">
        <f>F31</f>
        <v/>
      </c>
      <c r="Z37" s="1" t="str">
        <f>G31</f>
        <v/>
      </c>
      <c r="AA37" s="1" t="str">
        <f>H31</f>
        <v/>
      </c>
      <c r="AB37" s="4"/>
      <c r="AD37">
        <v>22</v>
      </c>
      <c r="AE37" t="e">
        <f>VLOOKUP(Table59131721252933[[#This Row],[Final]],'Round 8'!$X$19:$AG$27,3,0)</f>
        <v>#N/A</v>
      </c>
      <c r="AF37" t="e">
        <f>VLOOKUP(Table59131721252933[[#This Row],[Final]],'Round 8'!$X$19:$AG$27,4,0)</f>
        <v>#N/A</v>
      </c>
      <c r="AG37" t="e">
        <f>VLOOKUP(Table59131721252933[[#This Row],[Final]],'Round 8'!$X$19:$AG$27,10,0)</f>
        <v>#N/A</v>
      </c>
    </row>
    <row r="38" spans="16:33" x14ac:dyDescent="0.3">
      <c r="AD38">
        <v>23</v>
      </c>
      <c r="AE38" t="e">
        <f>VLOOKUP(Table59131721252933[[#This Row],[Final]],'Round 8'!$X$19:$AG$27,3,0)</f>
        <v>#N/A</v>
      </c>
      <c r="AF38" t="e">
        <f>VLOOKUP(Table59131721252933[[#This Row],[Final]],'Round 8'!$X$19:$AG$27,4,0)</f>
        <v>#N/A</v>
      </c>
      <c r="AG38" t="e">
        <f>VLOOKUP(Table59131721252933[[#This Row],[Final]],'Round 8'!$X$19:$AG$27,10,0)</f>
        <v>#N/A</v>
      </c>
    </row>
    <row r="39" spans="16:33" x14ac:dyDescent="0.3">
      <c r="AD39">
        <v>24</v>
      </c>
      <c r="AE39" t="e">
        <f>VLOOKUP(Table59131721252933[[#This Row],[Final]],'Round 8'!$X$19:$AG$27,3,0)</f>
        <v>#N/A</v>
      </c>
      <c r="AF39" t="e">
        <f>VLOOKUP(Table59131721252933[[#This Row],[Final]],'Round 8'!$X$19:$AG$27,4,0)</f>
        <v>#N/A</v>
      </c>
      <c r="AG39" t="e">
        <f>VLOOKUP(Table59131721252933[[#This Row],[Final]],'Round 8'!$X$19:$AG$27,10,0)</f>
        <v>#N/A</v>
      </c>
    </row>
    <row r="40" spans="16:33" x14ac:dyDescent="0.3">
      <c r="AD40">
        <v>25</v>
      </c>
      <c r="AE40" t="e">
        <f>VLOOKUP(Table59131721252933[[#This Row],[Final]],'Round 8'!$X$19:$AG$27,3,0)</f>
        <v>#N/A</v>
      </c>
      <c r="AF40" t="e">
        <f>VLOOKUP(Table59131721252933[[#This Row],[Final]],'Round 8'!$X$19:$AG$27,4,0)</f>
        <v>#N/A</v>
      </c>
      <c r="AG40" t="e">
        <f>VLOOKUP(Table59131721252933[[#This Row],[Final]],'Round 8'!$X$19:$AG$27,10,0)</f>
        <v>#N/A</v>
      </c>
    </row>
  </sheetData>
  <sheetProtection sheet="1" objects="1" scenarios="1"/>
  <conditionalFormatting sqref="A2:D2">
    <cfRule type="expression" dxfId="173" priority="132">
      <formula>$D2&gt;$D4</formula>
    </cfRule>
    <cfRule type="expression" dxfId="172" priority="130">
      <formula>$D2&lt;$D4</formula>
    </cfRule>
    <cfRule type="expression" dxfId="171" priority="129">
      <formula>AND($D2=$D4,$A2&lt;$A4)</formula>
    </cfRule>
  </conditionalFormatting>
  <conditionalFormatting sqref="A4:D4">
    <cfRule type="expression" dxfId="170" priority="128">
      <formula>$D4&lt;$D2</formula>
    </cfRule>
    <cfRule type="expression" dxfId="169" priority="131">
      <formula>$D4&gt;$D2</formula>
    </cfRule>
    <cfRule type="expression" dxfId="168" priority="127">
      <formula>AND($D4=$D2,$A4&lt;$A2)</formula>
    </cfRule>
  </conditionalFormatting>
  <conditionalFormatting sqref="A6:D6 A10:D10 A14:D14 A18:D18 A22:D22 A26:D26 A30:D30">
    <cfRule type="expression" dxfId="167" priority="101">
      <formula>$D6&lt;$D8</formula>
    </cfRule>
    <cfRule type="expression" dxfId="166" priority="100">
      <formula>AND($D6=$D8,$A6&lt;$A8)</formula>
    </cfRule>
    <cfRule type="expression" dxfId="165" priority="102">
      <formula>$D6&gt;$D8</formula>
    </cfRule>
  </conditionalFormatting>
  <conditionalFormatting sqref="A8:D8 A12:D12 A16:D16 A20:D20 A24:D24 A28:D28 A32:D32">
    <cfRule type="expression" dxfId="164" priority="99">
      <formula>$D8&gt;$D6</formula>
    </cfRule>
    <cfRule type="expression" dxfId="163" priority="97">
      <formula>AND($D8=$D6,$A8&lt;$A6)</formula>
    </cfRule>
    <cfRule type="expression" dxfId="162" priority="98">
      <formula>$D8&lt;$D6</formula>
    </cfRule>
  </conditionalFormatting>
  <conditionalFormatting sqref="F3:I3">
    <cfRule type="expression" dxfId="161" priority="126">
      <formula>$I3&gt;$I7</formula>
    </cfRule>
    <cfRule type="expression" dxfId="160" priority="125">
      <formula>$I3&lt;$I7</formula>
    </cfRule>
    <cfRule type="expression" dxfId="159" priority="124">
      <formula>AND($I3=$I7,$F3&lt;$F7)</formula>
    </cfRule>
  </conditionalFormatting>
  <conditionalFormatting sqref="F7:I7">
    <cfRule type="expression" dxfId="158" priority="120">
      <formula>$I7&gt;$I3</formula>
    </cfRule>
    <cfRule type="expression" dxfId="157" priority="119">
      <formula>$I7&lt;$I3</formula>
    </cfRule>
    <cfRule type="expression" dxfId="156" priority="118">
      <formula>AND($I7=$I3,$F7&lt;$F3)</formula>
    </cfRule>
  </conditionalFormatting>
  <conditionalFormatting sqref="F11:I11 F19:I19 F27:I27">
    <cfRule type="expression" dxfId="155" priority="121">
      <formula>AND($I11=$I15,$F11&lt;$F15)</formula>
    </cfRule>
    <cfRule type="expression" dxfId="154" priority="123">
      <formula>$I11&gt;$I15</formula>
    </cfRule>
    <cfRule type="expression" dxfId="153" priority="122">
      <formula>$I11&lt;$I15</formula>
    </cfRule>
  </conditionalFormatting>
  <conditionalFormatting sqref="F15:I15 F23:I23 F31:I31">
    <cfRule type="expression" dxfId="152" priority="116">
      <formula>$I15&lt;$I11</formula>
    </cfRule>
    <cfRule type="expression" dxfId="151" priority="117">
      <formula>$I15&gt;$I11</formula>
    </cfRule>
    <cfRule type="expression" dxfId="150" priority="115">
      <formula>AND($I15=$I11,$F15&lt;$F11)</formula>
    </cfRule>
  </conditionalFormatting>
  <conditionalFormatting sqref="K5:N5">
    <cfRule type="expression" dxfId="149" priority="114">
      <formula>$N5&gt;$N13</formula>
    </cfRule>
    <cfRule type="expression" dxfId="148" priority="113">
      <formula>$N5&lt;$N13</formula>
    </cfRule>
    <cfRule type="expression" dxfId="147" priority="112">
      <formula>AND($N5=$N13,$K5&lt;$K13)</formula>
    </cfRule>
  </conditionalFormatting>
  <conditionalFormatting sqref="K13:N13">
    <cfRule type="expression" dxfId="146" priority="106">
      <formula>AND($N13=$N5,$K13&lt;$K5)</formula>
    </cfRule>
    <cfRule type="expression" dxfId="145" priority="108">
      <formula>$N13&gt;$N5</formula>
    </cfRule>
    <cfRule type="expression" dxfId="144" priority="107">
      <formula>$N13&lt;$N5</formula>
    </cfRule>
  </conditionalFormatting>
  <conditionalFormatting sqref="K21:N21">
    <cfRule type="expression" dxfId="143" priority="109">
      <formula>AND($N21=$N29,$K21&lt;$K29)</formula>
    </cfRule>
    <cfRule type="expression" dxfId="142" priority="111">
      <formula>$N21&gt;$N29</formula>
    </cfRule>
    <cfRule type="expression" dxfId="141" priority="110">
      <formula>$N21&lt;$N29</formula>
    </cfRule>
  </conditionalFormatting>
  <conditionalFormatting sqref="K29:N29">
    <cfRule type="expression" dxfId="140" priority="105">
      <formula>$N29&gt;$N21</formula>
    </cfRule>
    <cfRule type="expression" dxfId="139" priority="103">
      <formula>AND($N29=$N21,$K29&lt;$K21)</formula>
    </cfRule>
    <cfRule type="expression" dxfId="138" priority="104">
      <formula>$N29&lt;$N21</formula>
    </cfRule>
  </conditionalFormatting>
  <conditionalFormatting sqref="P9:S9">
    <cfRule type="expression" dxfId="137" priority="96">
      <formula>$S9&gt;$S25</formula>
    </cfRule>
    <cfRule type="expression" dxfId="136" priority="95">
      <formula>$S9&lt;$S25</formula>
    </cfRule>
    <cfRule type="expression" dxfId="135" priority="94">
      <formula>AND($S9=$S25,$P9&lt;$P25)</formula>
    </cfRule>
  </conditionalFormatting>
  <conditionalFormatting sqref="P25:S25">
    <cfRule type="expression" dxfId="134" priority="93">
      <formula>$S25&gt;$S9</formula>
    </cfRule>
    <cfRule type="expression" dxfId="133" priority="92">
      <formula>$S25&lt;$S9</formula>
    </cfRule>
    <cfRule type="expression" dxfId="132" priority="91">
      <formula>AND($S25=$S9,$P25&lt;$P9)</formula>
    </cfRule>
  </conditionalFormatting>
  <conditionalFormatting sqref="Y3:AB3">
    <cfRule type="expression" dxfId="131" priority="90">
      <formula>AND($AB3=$AB4,$Y3&lt;$Y4)</formula>
    </cfRule>
    <cfRule type="expression" dxfId="130" priority="89">
      <formula>$AB3&gt;$AB4</formula>
    </cfRule>
    <cfRule type="expression" dxfId="129" priority="88">
      <formula>$AB3&lt;$AB4</formula>
    </cfRule>
  </conditionalFormatting>
  <conditionalFormatting sqref="Y4:AB4">
    <cfRule type="expression" dxfId="128" priority="87">
      <formula>AND($AB4=$AB3,$Y4&lt;$Y3)</formula>
    </cfRule>
    <cfRule type="expression" dxfId="127" priority="86">
      <formula>$AB4&gt;$AB3</formula>
    </cfRule>
    <cfRule type="expression" dxfId="126" priority="85">
      <formula>$AB4&lt;$AB3</formula>
    </cfRule>
  </conditionalFormatting>
  <conditionalFormatting sqref="Y6:AB6">
    <cfRule type="expression" dxfId="125" priority="83">
      <formula>$AB6&gt;$AB7</formula>
    </cfRule>
    <cfRule type="expression" dxfId="124" priority="84">
      <formula>AND($AB6=$AB7,$Y6&lt;$Y7)</formula>
    </cfRule>
    <cfRule type="expression" dxfId="123" priority="82">
      <formula>$AB6&lt;$AB7</formula>
    </cfRule>
  </conditionalFormatting>
  <conditionalFormatting sqref="Y7:AB7">
    <cfRule type="expression" dxfId="122" priority="81">
      <formula>AND($AB7=$AB6,$Y7&lt;$Y6)</formula>
    </cfRule>
    <cfRule type="expression" dxfId="121" priority="80">
      <formula>$AB7&gt;$AB6</formula>
    </cfRule>
    <cfRule type="expression" dxfId="120" priority="79">
      <formula>$AB7&lt;$AB6</formula>
    </cfRule>
  </conditionalFormatting>
  <conditionalFormatting sqref="Y9:AB9">
    <cfRule type="expression" dxfId="119" priority="78">
      <formula>AND($AB9=$AB10,$Y9&lt;$Y10)</formula>
    </cfRule>
    <cfRule type="expression" dxfId="118" priority="77">
      <formula>$AB9&gt;$AB10</formula>
    </cfRule>
    <cfRule type="expression" dxfId="117" priority="76">
      <formula>$AB9&lt;$AB10</formula>
    </cfRule>
  </conditionalFormatting>
  <conditionalFormatting sqref="Y10:AB10">
    <cfRule type="expression" dxfId="116" priority="75">
      <formula>AND($AB10=$AB9,$Y10&lt;$Y9)</formula>
    </cfRule>
    <cfRule type="expression" dxfId="115" priority="74">
      <formula>$AB10&gt;$AB9</formula>
    </cfRule>
    <cfRule type="expression" dxfId="114" priority="73">
      <formula>$AB10&lt;$AB9</formula>
    </cfRule>
  </conditionalFormatting>
  <conditionalFormatting sqref="Y12:AB12">
    <cfRule type="expression" dxfId="113" priority="72">
      <formula>AND($AB12=$AB13,$Y12&lt;$Y13)</formula>
    </cfRule>
    <cfRule type="expression" dxfId="112" priority="70">
      <formula>$AB12&lt;$AB13</formula>
    </cfRule>
    <cfRule type="expression" dxfId="111" priority="71">
      <formula>$AB12&gt;$AB13</formula>
    </cfRule>
  </conditionalFormatting>
  <conditionalFormatting sqref="Y13:AB13">
    <cfRule type="expression" dxfId="110" priority="67">
      <formula>$AB13&lt;$AB12</formula>
    </cfRule>
    <cfRule type="expression" dxfId="109" priority="68">
      <formula>$AB13&gt;$AB12</formula>
    </cfRule>
    <cfRule type="expression" dxfId="108" priority="69">
      <formula>AND($AB13=$AB12,$Y13&lt;$Y12)</formula>
    </cfRule>
  </conditionalFormatting>
  <conditionalFormatting sqref="Y15:AB15">
    <cfRule type="expression" dxfId="107" priority="66">
      <formula>AND($AB15=$AB16,$Y15&lt;$Y16)</formula>
    </cfRule>
    <cfRule type="expression" dxfId="106" priority="65">
      <formula>$AB15&gt;$AB16</formula>
    </cfRule>
    <cfRule type="expression" dxfId="105" priority="64">
      <formula>$AB15&lt;$AB16</formula>
    </cfRule>
  </conditionalFormatting>
  <conditionalFormatting sqref="Y16:AB16">
    <cfRule type="expression" dxfId="104" priority="61">
      <formula>$AB16&lt;$AB15</formula>
    </cfRule>
    <cfRule type="expression" dxfId="103" priority="63">
      <formula>AND($AB16=$AB15,$Y16&lt;$Y15)</formula>
    </cfRule>
    <cfRule type="expression" dxfId="102" priority="62">
      <formula>$AB16&gt;$AB15</formula>
    </cfRule>
  </conditionalFormatting>
  <conditionalFormatting sqref="Y18:AB18">
    <cfRule type="expression" dxfId="101" priority="60">
      <formula>AND($AB18=$AB19,$Y18&lt;$Y19)</formula>
    </cfRule>
    <cfRule type="expression" dxfId="100" priority="59">
      <formula>$AB18&gt;$AB19</formula>
    </cfRule>
    <cfRule type="expression" dxfId="99" priority="58">
      <formula>$AB18&lt;$AB19</formula>
    </cfRule>
  </conditionalFormatting>
  <conditionalFormatting sqref="Y19:AB19">
    <cfRule type="expression" dxfId="98" priority="57">
      <formula>AND($AB19=$AB18,$Y19&lt;$Y18)</formula>
    </cfRule>
    <cfRule type="expression" dxfId="97" priority="56">
      <formula>$AB19&gt;$AB18</formula>
    </cfRule>
    <cfRule type="expression" dxfId="96" priority="55">
      <formula>$AB19&lt;$AB18</formula>
    </cfRule>
  </conditionalFormatting>
  <conditionalFormatting sqref="Y21:AB21">
    <cfRule type="expression" dxfId="95" priority="54">
      <formula>AND($AB21=$AB22,$Y21&lt;$Y22)</formula>
    </cfRule>
    <cfRule type="expression" dxfId="94" priority="53">
      <formula>$AB21&gt;$AB22</formula>
    </cfRule>
    <cfRule type="expression" dxfId="93" priority="52">
      <formula>$AB21&lt;$AB22</formula>
    </cfRule>
  </conditionalFormatting>
  <conditionalFormatting sqref="Y22:AB22">
    <cfRule type="expression" dxfId="92" priority="51">
      <formula>AND($AB22=$AB21,$Y22&lt;$Y21)</formula>
    </cfRule>
    <cfRule type="expression" dxfId="91" priority="50">
      <formula>$AB22&gt;$AB21</formula>
    </cfRule>
    <cfRule type="expression" dxfId="90" priority="49">
      <formula>$AB22&lt;$AB21</formula>
    </cfRule>
  </conditionalFormatting>
  <conditionalFormatting sqref="Y24:AB24">
    <cfRule type="expression" dxfId="89" priority="48">
      <formula>AND($AB24=$AB25,$Y24&lt;$Y25)</formula>
    </cfRule>
    <cfRule type="expression" dxfId="88" priority="47">
      <formula>$AB24&gt;$AB25</formula>
    </cfRule>
    <cfRule type="expression" dxfId="87" priority="46">
      <formula>$AB24&lt;$AB25</formula>
    </cfRule>
  </conditionalFormatting>
  <conditionalFormatting sqref="Y25:AB25">
    <cfRule type="expression" dxfId="86" priority="45">
      <formula>AND($AB25=$AB24,$Y25&lt;$Y24)</formula>
    </cfRule>
    <cfRule type="expression" dxfId="85" priority="44">
      <formula>$AB25&gt;$AB24</formula>
    </cfRule>
    <cfRule type="expression" dxfId="84" priority="43">
      <formula>$AB25&lt;$AB24</formula>
    </cfRule>
  </conditionalFormatting>
  <conditionalFormatting sqref="Y27:AB27">
    <cfRule type="expression" dxfId="83" priority="42">
      <formula>AND($AB27=$AB28,$Y27&lt;$Y28)</formula>
    </cfRule>
    <cfRule type="expression" dxfId="82" priority="41">
      <formula>$AB27&gt;$AB28</formula>
    </cfRule>
    <cfRule type="expression" dxfId="81" priority="40">
      <formula>$AB27&lt;$AB28</formula>
    </cfRule>
  </conditionalFormatting>
  <conditionalFormatting sqref="Y28:AB28">
    <cfRule type="expression" dxfId="80" priority="39">
      <formula>AND($AB28=$AB27,$Y28&lt;$Y27)</formula>
    </cfRule>
    <cfRule type="expression" dxfId="79" priority="38">
      <formula>$AB28&gt;$AB27</formula>
    </cfRule>
    <cfRule type="expression" dxfId="78" priority="37">
      <formula>$AB28&lt;$AB27</formula>
    </cfRule>
  </conditionalFormatting>
  <conditionalFormatting sqref="Y30:AB30">
    <cfRule type="expression" dxfId="77" priority="36">
      <formula>AND($AB30=$AB31,$Y30&lt;$Y31)</formula>
    </cfRule>
    <cfRule type="expression" dxfId="76" priority="35">
      <formula>$AB30&gt;$AB31</formula>
    </cfRule>
    <cfRule type="expression" dxfId="75" priority="34">
      <formula>$AB30&lt;$AB31</formula>
    </cfRule>
  </conditionalFormatting>
  <conditionalFormatting sqref="Y31:AB31">
    <cfRule type="expression" dxfId="74" priority="33">
      <formula>AND($AB31=$AB30,$Y31&lt;$Y30)</formula>
    </cfRule>
    <cfRule type="expression" dxfId="73" priority="32">
      <formula>$AB31&gt;$AB30</formula>
    </cfRule>
    <cfRule type="expression" dxfId="72" priority="31">
      <formula>$AB31&lt;$AB30</formula>
    </cfRule>
  </conditionalFormatting>
  <conditionalFormatting sqref="Y33:AB33">
    <cfRule type="expression" dxfId="71" priority="30">
      <formula>AND($AB33=$AB34,$Y33&lt;$Y34)</formula>
    </cfRule>
    <cfRule type="expression" dxfId="70" priority="29">
      <formula>$AB33&gt;$AB34</formula>
    </cfRule>
    <cfRule type="expression" dxfId="69" priority="28">
      <formula>$AB33&lt;$AB34</formula>
    </cfRule>
  </conditionalFormatting>
  <conditionalFormatting sqref="Y34:AB34">
    <cfRule type="expression" dxfId="68" priority="27">
      <formula>AND($AB34=$AB33,$Y34&lt;$Y33)</formula>
    </cfRule>
    <cfRule type="expression" dxfId="67" priority="26">
      <formula>$AB34&gt;$AB33</formula>
    </cfRule>
    <cfRule type="expression" dxfId="66" priority="25">
      <formula>$AB34&lt;$AB33</formula>
    </cfRule>
  </conditionalFormatting>
  <conditionalFormatting sqref="Y36:AB36">
    <cfRule type="expression" dxfId="65" priority="24">
      <formula>AND($AB36=$AB37,$Y36&lt;$Y37)</formula>
    </cfRule>
    <cfRule type="expression" dxfId="64" priority="23">
      <formula>$AB36&gt;$AB37</formula>
    </cfRule>
    <cfRule type="expression" dxfId="63" priority="22">
      <formula>$AB36&lt;$AB37</formula>
    </cfRule>
  </conditionalFormatting>
  <conditionalFormatting sqref="Y37:AB37">
    <cfRule type="expression" dxfId="62" priority="19">
      <formula>$AB37&lt;$AB36</formula>
    </cfRule>
    <cfRule type="expression" dxfId="61" priority="20">
      <formula>$AB37&gt;$AB36</formula>
    </cfRule>
    <cfRule type="expression" dxfId="60" priority="21">
      <formula>AND($AB37=$AB36,$Y37&lt;$Y36)</formula>
    </cfRule>
  </conditionalFormatting>
  <conditionalFormatting sqref="AD3:AG3 AD12:AG12">
    <cfRule type="expression" dxfId="59" priority="17">
      <formula>$AG3&gt;$AG4</formula>
    </cfRule>
    <cfRule type="expression" dxfId="58" priority="18">
      <formula>AND($AG3=$AG4,$AD3&lt;$AD4)</formula>
    </cfRule>
    <cfRule type="expression" dxfId="57" priority="16">
      <formula>$AG3&lt;$AG4</formula>
    </cfRule>
  </conditionalFormatting>
  <conditionalFormatting sqref="AD4:AG4 AD13:AG13">
    <cfRule type="expression" dxfId="56" priority="15">
      <formula>AND($AG4=$AG3,$AD4&lt;$AD3)</formula>
    </cfRule>
    <cfRule type="expression" dxfId="55" priority="14">
      <formula>$AG4&gt;$AG3</formula>
    </cfRule>
    <cfRule type="expression" dxfId="54" priority="13">
      <formula>$AG4&lt;$AG3</formula>
    </cfRule>
  </conditionalFormatting>
  <conditionalFormatting sqref="AD6:AG6">
    <cfRule type="expression" dxfId="53" priority="12">
      <formula>AND($AG6=$AG7,$AD6&lt;$AD7)</formula>
    </cfRule>
    <cfRule type="expression" dxfId="52" priority="11">
      <formula>$AG6&gt;$AG7</formula>
    </cfRule>
    <cfRule type="expression" dxfId="51" priority="10">
      <formula>$AG6&lt;$AG7</formula>
    </cfRule>
  </conditionalFormatting>
  <conditionalFormatting sqref="AD7:AG7">
    <cfRule type="expression" dxfId="50" priority="9">
      <formula>AND($AG7=$AG6,$AD7&lt;$AD6)</formula>
    </cfRule>
    <cfRule type="expression" dxfId="49" priority="8">
      <formula>$AG7&gt;$AG6</formula>
    </cfRule>
    <cfRule type="expression" dxfId="48" priority="7">
      <formula>$AG7&lt;$AG6</formula>
    </cfRule>
  </conditionalFormatting>
  <conditionalFormatting sqref="AD9:AG9">
    <cfRule type="expression" dxfId="47" priority="4">
      <formula>$AG9&lt;$AG10</formula>
    </cfRule>
    <cfRule type="expression" dxfId="46" priority="6">
      <formula>AND($AG9=$AG10,$AD9&lt;$AD10)</formula>
    </cfRule>
    <cfRule type="expression" dxfId="45" priority="5">
      <formula>$AG9&gt;$AG10</formula>
    </cfRule>
  </conditionalFormatting>
  <conditionalFormatting sqref="AD10:AG10">
    <cfRule type="expression" dxfId="44" priority="3">
      <formula>AND($AG10=$AG9,$AD10&lt;$AD9)</formula>
    </cfRule>
    <cfRule type="expression" dxfId="43" priority="1">
      <formula>$AG10&lt;$AG9</formula>
    </cfRule>
    <cfRule type="expression" dxfId="42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CAFC-86E3-4BD4-95EC-2EC774652DB9}">
  <sheetPr>
    <pageSetUpPr fitToPage="1"/>
  </sheetPr>
  <dimension ref="A1:W33"/>
  <sheetViews>
    <sheetView workbookViewId="0">
      <selection activeCell="V27" sqref="V27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8 Finals'!A1</f>
        <v>Q Pos</v>
      </c>
      <c r="B1" t="str">
        <f>'Round 8 Finals'!B1</f>
        <v>#</v>
      </c>
      <c r="C1" t="str">
        <f>'Round 8 Finals'!C1</f>
        <v>Name</v>
      </c>
      <c r="D1" t="str">
        <f>'Round 8 Finals'!D1</f>
        <v>Score</v>
      </c>
      <c r="F1" t="str">
        <f>'Round 8 Finals'!F1</f>
        <v>Q</v>
      </c>
      <c r="G1" t="str">
        <f>'Round 8 Finals'!G1</f>
        <v>#</v>
      </c>
      <c r="K1" t="str">
        <f>'Round 8 Finals'!K1</f>
        <v>Q</v>
      </c>
      <c r="L1" t="str">
        <f>'Round 8 Finals'!L1</f>
        <v>#</v>
      </c>
      <c r="P1" t="str">
        <f>'Round 8 Finals'!P1</f>
        <v>Q</v>
      </c>
      <c r="Q1" t="str">
        <f>'Round 8 Finals'!Q1</f>
        <v>#</v>
      </c>
      <c r="V1" t="str">
        <f>'Round 8 Finals'!V1</f>
        <v>#</v>
      </c>
    </row>
    <row r="2" spans="1:22" x14ac:dyDescent="0.3">
      <c r="A2" s="1">
        <f>'Round 8 Finals'!A2</f>
        <v>1</v>
      </c>
      <c r="B2" s="1" t="e">
        <f>'Round 8 Finals'!B2</f>
        <v>#N/A</v>
      </c>
      <c r="C2" s="1" t="e">
        <f>'Round 8 Finals'!C2</f>
        <v>#N/A</v>
      </c>
      <c r="D2" s="1">
        <f>'Round 8 Finals'!D2</f>
        <v>0</v>
      </c>
      <c r="E2" s="2"/>
    </row>
    <row r="3" spans="1:22" x14ac:dyDescent="0.3">
      <c r="A3" s="3"/>
      <c r="E3" s="2"/>
      <c r="F3" s="1" t="str">
        <f>'Round 8 Finals'!F3</f>
        <v/>
      </c>
      <c r="G3" s="1" t="str">
        <f>'Round 8 Finals'!G3</f>
        <v/>
      </c>
      <c r="H3" s="1" t="str">
        <f>'Round 8 Finals'!H3</f>
        <v/>
      </c>
      <c r="I3" s="1">
        <f>'Round 8 Finals'!I3</f>
        <v>0</v>
      </c>
      <c r="J3" s="2"/>
    </row>
    <row r="4" spans="1:22" x14ac:dyDescent="0.3">
      <c r="A4" s="1">
        <f>'Round 8 Finals'!A4</f>
        <v>16</v>
      </c>
      <c r="B4" s="1" t="e">
        <f>'Round 8 Finals'!B4</f>
        <v>#N/A</v>
      </c>
      <c r="C4" s="1" t="e">
        <f>'Round 8 Finals'!C4</f>
        <v>#N/A</v>
      </c>
      <c r="D4" s="1">
        <f>'Round 8 Finals'!D4</f>
        <v>0</v>
      </c>
      <c r="E4" s="2"/>
      <c r="J4" s="2"/>
    </row>
    <row r="5" spans="1:22" x14ac:dyDescent="0.3">
      <c r="J5" s="2"/>
      <c r="K5" s="1" t="str">
        <f>'Round 8 Finals'!K5</f>
        <v/>
      </c>
      <c r="L5" s="1" t="str">
        <f>'Round 8 Finals'!L5</f>
        <v/>
      </c>
      <c r="M5" s="1" t="str">
        <f>'Round 8 Finals'!M5</f>
        <v/>
      </c>
      <c r="N5" s="1">
        <f>'Round 8 Finals'!N5</f>
        <v>0</v>
      </c>
      <c r="O5" s="2"/>
    </row>
    <row r="6" spans="1:22" x14ac:dyDescent="0.3">
      <c r="A6" s="1">
        <f>'Round 8 Finals'!A6</f>
        <v>8</v>
      </c>
      <c r="B6" s="1" t="e">
        <f>'Round 8 Finals'!B6</f>
        <v>#N/A</v>
      </c>
      <c r="C6" s="1" t="e">
        <f>'Round 8 Finals'!C6</f>
        <v>#N/A</v>
      </c>
      <c r="D6" s="1">
        <f>'Round 8 Finals'!D6</f>
        <v>0</v>
      </c>
      <c r="E6" s="2"/>
      <c r="J6" s="2"/>
      <c r="O6" s="2"/>
    </row>
    <row r="7" spans="1:22" x14ac:dyDescent="0.3">
      <c r="A7" s="3"/>
      <c r="E7" s="2"/>
      <c r="F7" s="1" t="str">
        <f>'Round 8 Finals'!F7</f>
        <v/>
      </c>
      <c r="G7" s="1" t="str">
        <f>'Round 8 Finals'!G7</f>
        <v/>
      </c>
      <c r="H7" s="1" t="str">
        <f>'Round 8 Finals'!H7</f>
        <v/>
      </c>
      <c r="I7" s="1">
        <f>'Round 8 Finals'!I7</f>
        <v>0</v>
      </c>
      <c r="J7" s="2"/>
      <c r="O7" s="2"/>
    </row>
    <row r="8" spans="1:22" x14ac:dyDescent="0.3">
      <c r="A8" s="1">
        <f>'Round 8 Finals'!A8</f>
        <v>9</v>
      </c>
      <c r="B8" s="1" t="e">
        <f>'Round 8 Finals'!B8</f>
        <v>#N/A</v>
      </c>
      <c r="C8" s="1" t="e">
        <f>'Round 8 Finals'!C8</f>
        <v>#N/A</v>
      </c>
      <c r="D8" s="1">
        <f>'Round 8 Finals'!D8</f>
        <v>0</v>
      </c>
      <c r="E8" s="2"/>
      <c r="O8" s="2"/>
    </row>
    <row r="9" spans="1:22" x14ac:dyDescent="0.3">
      <c r="O9" s="2"/>
      <c r="P9" s="1" t="str">
        <f>'Round 8 Finals'!P9</f>
        <v/>
      </c>
      <c r="Q9" s="1" t="str">
        <f>'Round 8 Finals'!Q9</f>
        <v/>
      </c>
      <c r="R9" s="1" t="str">
        <f>'Round 8 Finals'!R9</f>
        <v/>
      </c>
      <c r="S9" s="1">
        <f>'Round 8 Finals'!S9</f>
        <v>0</v>
      </c>
      <c r="T9" s="2"/>
    </row>
    <row r="10" spans="1:22" x14ac:dyDescent="0.3">
      <c r="A10" s="1">
        <f>'Round 8 Finals'!A10</f>
        <v>4</v>
      </c>
      <c r="B10" s="1" t="e">
        <f>'Round 8 Finals'!B10</f>
        <v>#N/A</v>
      </c>
      <c r="C10" s="1" t="e">
        <f>'Round 8 Finals'!C10</f>
        <v>#N/A</v>
      </c>
      <c r="D10" s="1">
        <f>'Round 8 Finals'!D10</f>
        <v>0</v>
      </c>
      <c r="E10" s="2"/>
      <c r="O10" s="2"/>
      <c r="T10" s="2"/>
    </row>
    <row r="11" spans="1:22" x14ac:dyDescent="0.3">
      <c r="A11" s="3"/>
      <c r="E11" s="2"/>
      <c r="F11" s="1" t="str">
        <f>'Round 8 Finals'!F11</f>
        <v/>
      </c>
      <c r="G11" s="1" t="str">
        <f>'Round 8 Finals'!G11</f>
        <v/>
      </c>
      <c r="H11" s="1" t="str">
        <f>'Round 8 Finals'!H11</f>
        <v/>
      </c>
      <c r="I11" s="1">
        <f>'Round 8 Finals'!I11</f>
        <v>0</v>
      </c>
      <c r="J11" s="2"/>
      <c r="O11" s="2"/>
      <c r="T11" s="2"/>
    </row>
    <row r="12" spans="1:22" x14ac:dyDescent="0.3">
      <c r="A12" s="1">
        <f>'Round 8 Finals'!A12</f>
        <v>13</v>
      </c>
      <c r="B12" s="1" t="e">
        <f>'Round 8 Finals'!B12</f>
        <v>#N/A</v>
      </c>
      <c r="C12" s="1" t="e">
        <f>'Round 8 Finals'!C12</f>
        <v>#N/A</v>
      </c>
      <c r="D12" s="1">
        <f>'Round 8 Finals'!D12</f>
        <v>0</v>
      </c>
      <c r="E12" s="2"/>
      <c r="J12" s="2"/>
      <c r="O12" s="2"/>
      <c r="T12" s="2"/>
    </row>
    <row r="13" spans="1:22" x14ac:dyDescent="0.3">
      <c r="J13" s="2"/>
      <c r="K13" s="1" t="str">
        <f>'Round 8 Finals'!K13</f>
        <v/>
      </c>
      <c r="L13" s="1" t="str">
        <f>'Round 8 Finals'!L13</f>
        <v/>
      </c>
      <c r="M13" s="1" t="str">
        <f>'Round 8 Finals'!M13</f>
        <v/>
      </c>
      <c r="N13" s="1">
        <f>'Round 8 Finals'!N13</f>
        <v>0</v>
      </c>
      <c r="O13" s="2"/>
      <c r="T13" s="2"/>
    </row>
    <row r="14" spans="1:22" x14ac:dyDescent="0.3">
      <c r="A14" s="1">
        <f>'Round 8 Finals'!A14</f>
        <v>5</v>
      </c>
      <c r="B14" s="1" t="e">
        <f>'Round 8 Finals'!B14</f>
        <v>#N/A</v>
      </c>
      <c r="C14" s="1" t="e">
        <f>'Round 8 Finals'!C14</f>
        <v>#N/A</v>
      </c>
      <c r="D14" s="1">
        <f>'Round 8 Finals'!D14</f>
        <v>0</v>
      </c>
      <c r="E14" s="2"/>
      <c r="J14" s="2"/>
      <c r="T14" s="2"/>
    </row>
    <row r="15" spans="1:22" x14ac:dyDescent="0.3">
      <c r="A15" s="3"/>
      <c r="E15" s="2"/>
      <c r="F15" s="1" t="str">
        <f>'Round 8 Finals'!F15</f>
        <v/>
      </c>
      <c r="G15" s="1" t="str">
        <f>'Round 8 Finals'!G15</f>
        <v/>
      </c>
      <c r="H15" s="1" t="str">
        <f>'Round 8 Finals'!H15</f>
        <v/>
      </c>
      <c r="I15" s="1">
        <f>'Round 8 Finals'!I15</f>
        <v>0</v>
      </c>
      <c r="J15" s="2"/>
      <c r="T15" s="2"/>
    </row>
    <row r="16" spans="1:22" x14ac:dyDescent="0.3">
      <c r="A16" s="1">
        <f>'Round 8 Finals'!A16</f>
        <v>12</v>
      </c>
      <c r="B16" s="1" t="e">
        <f>'Round 8 Finals'!B16</f>
        <v>#N/A</v>
      </c>
      <c r="C16" s="1" t="e">
        <f>'Round 8 Finals'!C16</f>
        <v>#N/A</v>
      </c>
      <c r="D16" s="1">
        <f>'Round 8 Finals'!D16</f>
        <v>0</v>
      </c>
      <c r="E16" s="2"/>
      <c r="T16" s="2"/>
    </row>
    <row r="17" spans="1:23" x14ac:dyDescent="0.3">
      <c r="T17" s="2"/>
      <c r="U17" s="5" t="str">
        <f>'Round 8 Finals'!U17</f>
        <v/>
      </c>
      <c r="V17" s="5" t="str">
        <f>'Round 8 Finals'!V17</f>
        <v/>
      </c>
      <c r="W17" s="5" t="str">
        <f>'Round 8 Finals'!W17</f>
        <v/>
      </c>
    </row>
    <row r="18" spans="1:23" x14ac:dyDescent="0.3">
      <c r="A18" s="1">
        <f>'Round 8 Finals'!A18</f>
        <v>2</v>
      </c>
      <c r="B18" s="1" t="e">
        <f>'Round 8 Finals'!B18</f>
        <v>#N/A</v>
      </c>
      <c r="C18" s="1" t="e">
        <f>'Round 8 Finals'!C18</f>
        <v>#N/A</v>
      </c>
      <c r="D18" s="1">
        <f>'Round 8 Finals'!D18</f>
        <v>0</v>
      </c>
      <c r="E18" s="2"/>
      <c r="T18" s="2"/>
    </row>
    <row r="19" spans="1:23" x14ac:dyDescent="0.3">
      <c r="A19" s="3"/>
      <c r="E19" s="2"/>
      <c r="F19" s="1" t="str">
        <f>'Round 8 Finals'!F19</f>
        <v/>
      </c>
      <c r="G19" s="1" t="str">
        <f>'Round 8 Finals'!G19</f>
        <v/>
      </c>
      <c r="H19" s="1" t="str">
        <f>'Round 8 Finals'!H19</f>
        <v/>
      </c>
      <c r="I19" s="1">
        <f>'Round 8 Finals'!I19</f>
        <v>0</v>
      </c>
      <c r="J19" s="2"/>
      <c r="T19" s="2"/>
    </row>
    <row r="20" spans="1:23" x14ac:dyDescent="0.3">
      <c r="A20" s="1">
        <f>'Round 8 Finals'!A20</f>
        <v>15</v>
      </c>
      <c r="B20" s="1" t="e">
        <f>'Round 8 Finals'!B20</f>
        <v>#N/A</v>
      </c>
      <c r="C20" s="1" t="e">
        <f>'Round 8 Finals'!C20</f>
        <v>#N/A</v>
      </c>
      <c r="D20" s="1">
        <f>'Round 8 Finals'!D20</f>
        <v>0</v>
      </c>
      <c r="E20" s="2"/>
      <c r="J20" s="2"/>
      <c r="T20" s="2"/>
    </row>
    <row r="21" spans="1:23" x14ac:dyDescent="0.3">
      <c r="J21" s="2"/>
      <c r="K21" s="1" t="str">
        <f>'Round 8 Finals'!K21</f>
        <v/>
      </c>
      <c r="L21" s="1" t="str">
        <f>'Round 8 Finals'!L21</f>
        <v/>
      </c>
      <c r="M21" s="1" t="str">
        <f>'Round 8 Finals'!M21</f>
        <v/>
      </c>
      <c r="N21" s="1">
        <f>'Round 8 Finals'!N21</f>
        <v>0</v>
      </c>
      <c r="O21" s="2"/>
      <c r="T21" s="2"/>
    </row>
    <row r="22" spans="1:23" x14ac:dyDescent="0.3">
      <c r="A22" s="1">
        <f>'Round 8 Finals'!A22</f>
        <v>7</v>
      </c>
      <c r="B22" s="1" t="e">
        <f>'Round 8 Finals'!B22</f>
        <v>#N/A</v>
      </c>
      <c r="C22" s="1" t="e">
        <f>'Round 8 Finals'!C22</f>
        <v>#N/A</v>
      </c>
      <c r="D22" s="1">
        <f>'Round 8 Finals'!D22</f>
        <v>0</v>
      </c>
      <c r="E22" s="2"/>
      <c r="J22" s="2"/>
      <c r="O22" s="2"/>
      <c r="T22" s="2"/>
    </row>
    <row r="23" spans="1:23" x14ac:dyDescent="0.3">
      <c r="A23" s="3"/>
      <c r="E23" s="2"/>
      <c r="F23" s="1" t="str">
        <f>'Round 8 Finals'!F23</f>
        <v/>
      </c>
      <c r="G23" s="1" t="str">
        <f>'Round 8 Finals'!G23</f>
        <v/>
      </c>
      <c r="H23" s="1" t="str">
        <f>'Round 8 Finals'!H23</f>
        <v/>
      </c>
      <c r="I23" s="1">
        <f>'Round 8 Finals'!I23</f>
        <v>0</v>
      </c>
      <c r="J23" s="2"/>
      <c r="O23" s="2"/>
      <c r="T23" s="2"/>
    </row>
    <row r="24" spans="1:23" x14ac:dyDescent="0.3">
      <c r="A24" s="1">
        <f>'Round 8 Finals'!A24</f>
        <v>10</v>
      </c>
      <c r="B24" s="1" t="e">
        <f>'Round 8 Finals'!B24</f>
        <v>#N/A</v>
      </c>
      <c r="C24" s="1" t="e">
        <f>'Round 8 Finals'!C24</f>
        <v>#N/A</v>
      </c>
      <c r="D24" s="1">
        <f>'Round 8 Finals'!D24</f>
        <v>0</v>
      </c>
      <c r="E24" s="2"/>
      <c r="O24" s="2"/>
      <c r="T24" s="2"/>
    </row>
    <row r="25" spans="1:23" x14ac:dyDescent="0.3">
      <c r="O25" s="2"/>
      <c r="P25" s="1" t="str">
        <f>'Round 8 Finals'!P25</f>
        <v/>
      </c>
      <c r="Q25" s="1" t="str">
        <f>'Round 8 Finals'!Q25</f>
        <v/>
      </c>
      <c r="R25" s="1" t="str">
        <f>'Round 8 Finals'!R25</f>
        <v/>
      </c>
      <c r="S25" s="1">
        <f>'Round 8 Finals'!S25</f>
        <v>0</v>
      </c>
      <c r="T25" s="2"/>
    </row>
    <row r="26" spans="1:23" x14ac:dyDescent="0.3">
      <c r="A26" s="1">
        <f>'Round 8 Finals'!A26</f>
        <v>3</v>
      </c>
      <c r="B26" s="1" t="e">
        <f>'Round 8 Finals'!B26</f>
        <v>#N/A</v>
      </c>
      <c r="C26" s="1" t="e">
        <f>'Round 8 Finals'!C26</f>
        <v>#N/A</v>
      </c>
      <c r="D26" s="1">
        <f>'Round 8 Finals'!D26</f>
        <v>0</v>
      </c>
      <c r="E26" s="2"/>
      <c r="O26" s="2"/>
    </row>
    <row r="27" spans="1:23" x14ac:dyDescent="0.3">
      <c r="A27" s="3"/>
      <c r="E27" s="2"/>
      <c r="F27" s="1" t="str">
        <f>'Round 8 Finals'!F27</f>
        <v/>
      </c>
      <c r="G27" s="1" t="str">
        <f>'Round 8 Finals'!G27</f>
        <v/>
      </c>
      <c r="H27" s="1" t="str">
        <f>'Round 8 Finals'!H27</f>
        <v/>
      </c>
      <c r="I27" s="1">
        <f>'Round 8 Finals'!I27</f>
        <v>0</v>
      </c>
      <c r="J27" s="2"/>
      <c r="O27" s="2"/>
    </row>
    <row r="28" spans="1:23" x14ac:dyDescent="0.3">
      <c r="A28" s="1">
        <f>'Round 8 Finals'!A28</f>
        <v>14</v>
      </c>
      <c r="B28" s="1" t="e">
        <f>'Round 8 Finals'!B28</f>
        <v>#N/A</v>
      </c>
      <c r="C28" s="1" t="e">
        <f>'Round 8 Finals'!C28</f>
        <v>#N/A</v>
      </c>
      <c r="D28" s="1">
        <f>'Round 8 Finals'!D28</f>
        <v>0</v>
      </c>
      <c r="E28" s="2"/>
      <c r="J28" s="2"/>
      <c r="O28" s="2"/>
    </row>
    <row r="29" spans="1:23" x14ac:dyDescent="0.3">
      <c r="J29" s="2"/>
      <c r="K29" s="1" t="str">
        <f>'Round 8 Finals'!K29</f>
        <v/>
      </c>
      <c r="L29" s="1" t="str">
        <f>'Round 8 Finals'!L29</f>
        <v/>
      </c>
      <c r="M29" s="1" t="str">
        <f>'Round 8 Finals'!M29</f>
        <v/>
      </c>
      <c r="N29" s="1">
        <f>'Round 8 Finals'!N29</f>
        <v>0</v>
      </c>
      <c r="O29" s="2"/>
    </row>
    <row r="30" spans="1:23" x14ac:dyDescent="0.3">
      <c r="A30" s="1">
        <f>'Round 8 Finals'!A30</f>
        <v>6</v>
      </c>
      <c r="B30" s="1" t="e">
        <f>'Round 8 Finals'!B30</f>
        <v>#N/A</v>
      </c>
      <c r="C30" s="1" t="e">
        <f>'Round 8 Finals'!C30</f>
        <v>#N/A</v>
      </c>
      <c r="D30" s="1">
        <f>'Round 8 Finals'!D30</f>
        <v>0</v>
      </c>
      <c r="E30" s="2"/>
      <c r="J30" s="2"/>
    </row>
    <row r="31" spans="1:23" x14ac:dyDescent="0.3">
      <c r="A31" s="3"/>
      <c r="E31" s="2"/>
      <c r="F31" s="1" t="str">
        <f>'Round 8 Finals'!F31</f>
        <v/>
      </c>
      <c r="G31" s="1" t="str">
        <f>'Round 8 Finals'!G31</f>
        <v/>
      </c>
      <c r="H31" s="1" t="str">
        <f>'Round 8 Finals'!H31</f>
        <v/>
      </c>
      <c r="I31" s="1">
        <f>'Round 8 Finals'!I31</f>
        <v>0</v>
      </c>
      <c r="J31" s="2"/>
      <c r="P31" s="1" t="str">
        <f>'Round 8 Finals'!P31</f>
        <v/>
      </c>
      <c r="Q31" s="1" t="str">
        <f>'Round 8 Finals'!Q31</f>
        <v/>
      </c>
      <c r="R31" s="1" t="str">
        <f>'Round 8 Finals'!R31</f>
        <v/>
      </c>
      <c r="S31" s="1">
        <f>'Round 8 Finals'!S31</f>
        <v>0</v>
      </c>
      <c r="T31" s="2"/>
    </row>
    <row r="32" spans="1:23" x14ac:dyDescent="0.3">
      <c r="A32" s="1">
        <f>'Round 8 Finals'!A32</f>
        <v>11</v>
      </c>
      <c r="B32" s="1" t="e">
        <f>'Round 8 Finals'!B32</f>
        <v>#N/A</v>
      </c>
      <c r="C32" s="1" t="e">
        <f>'Round 8 Finals'!C32</f>
        <v>#N/A</v>
      </c>
      <c r="D32" s="1">
        <f>'Round 8 Finals'!D32</f>
        <v>0</v>
      </c>
      <c r="E32" s="2"/>
      <c r="T32" s="2"/>
      <c r="U32" s="1"/>
      <c r="V32" s="1" t="str">
        <f>'Round 8 Finals'!V32</f>
        <v/>
      </c>
      <c r="W32" s="1" t="str">
        <f>'Round 8 Finals'!W32</f>
        <v/>
      </c>
    </row>
    <row r="33" spans="16:20" x14ac:dyDescent="0.3">
      <c r="P33" s="1" t="str">
        <f>'Round 8 Finals'!P33</f>
        <v/>
      </c>
      <c r="Q33" s="1" t="str">
        <f>'Round 8 Finals'!Q33</f>
        <v/>
      </c>
      <c r="R33" s="1" t="str">
        <f>'Round 8 Finals'!R33</f>
        <v/>
      </c>
      <c r="S33" s="1">
        <f>'Round 8 Finals'!S33</f>
        <v>0</v>
      </c>
      <c r="T33" s="2"/>
    </row>
  </sheetData>
  <sheetProtection sheet="1" objects="1" scenarios="1"/>
  <conditionalFormatting sqref="A2:D2">
    <cfRule type="expression" dxfId="41" priority="39">
      <formula>AND($D2=$D4,$A2&lt;$A4)</formula>
    </cfRule>
    <cfRule type="expression" dxfId="40" priority="42">
      <formula>$D2&gt;$D4</formula>
    </cfRule>
    <cfRule type="expression" dxfId="39" priority="40">
      <formula>$D2&lt;$D4</formula>
    </cfRule>
  </conditionalFormatting>
  <conditionalFormatting sqref="A4:D4">
    <cfRule type="expression" dxfId="38" priority="38">
      <formula>$D4&lt;$D2</formula>
    </cfRule>
    <cfRule type="expression" dxfId="37" priority="37">
      <formula>AND($D4=$D2,$A4&lt;$A2)</formula>
    </cfRule>
    <cfRule type="expression" dxfId="36" priority="41">
      <formula>$D4&gt;$D2</formula>
    </cfRule>
  </conditionalFormatting>
  <conditionalFormatting sqref="A6:D6 A10:D10 A14:D14 A18:D18 A22:D22 A26:D26 A30:D30">
    <cfRule type="expression" dxfId="35" priority="11">
      <formula>$D6&lt;$D8</formula>
    </cfRule>
    <cfRule type="expression" dxfId="34" priority="10">
      <formula>AND($D6=$D8,$A6&lt;$A8)</formula>
    </cfRule>
    <cfRule type="expression" dxfId="33" priority="12">
      <formula>$D6&gt;$D8</formula>
    </cfRule>
  </conditionalFormatting>
  <conditionalFormatting sqref="A8:D8 A12:D12 A16:D16 A20:D20 A24:D24 A28:D28 A32:D32">
    <cfRule type="expression" dxfId="32" priority="7">
      <formula>AND($D8=$D6,$A8&lt;$A6)</formula>
    </cfRule>
    <cfRule type="expression" dxfId="31" priority="8">
      <formula>$D8&lt;$D6</formula>
    </cfRule>
    <cfRule type="expression" dxfId="30" priority="9">
      <formula>$D8&gt;$D6</formula>
    </cfRule>
  </conditionalFormatting>
  <conditionalFormatting sqref="F3:I3">
    <cfRule type="expression" dxfId="29" priority="36">
      <formula>$I3&gt;$I7</formula>
    </cfRule>
    <cfRule type="expression" dxfId="28" priority="35">
      <formula>$I3&lt;$I7</formula>
    </cfRule>
    <cfRule type="expression" dxfId="27" priority="34">
      <formula>AND($I3=$I7,$F3&lt;$F7)</formula>
    </cfRule>
  </conditionalFormatting>
  <conditionalFormatting sqref="F7:I7">
    <cfRule type="expression" dxfId="26" priority="30">
      <formula>$I7&gt;$I3</formula>
    </cfRule>
    <cfRule type="expression" dxfId="25" priority="29">
      <formula>$I7&lt;$I3</formula>
    </cfRule>
    <cfRule type="expression" dxfId="24" priority="28">
      <formula>AND($I7=$I3,$F7&lt;$F3)</formula>
    </cfRule>
  </conditionalFormatting>
  <conditionalFormatting sqref="F11:I11 F19:I19 F27:I27">
    <cfRule type="expression" dxfId="23" priority="33">
      <formula>$I11&gt;$I15</formula>
    </cfRule>
    <cfRule type="expression" dxfId="22" priority="31">
      <formula>AND($I11=$I15,$F11&lt;$F15)</formula>
    </cfRule>
    <cfRule type="expression" dxfId="21" priority="32">
      <formula>$I11&lt;$I15</formula>
    </cfRule>
  </conditionalFormatting>
  <conditionalFormatting sqref="F15:I15 F23:I23 F31:I31">
    <cfRule type="expression" dxfId="20" priority="27">
      <formula>$I15&gt;$I11</formula>
    </cfRule>
    <cfRule type="expression" dxfId="19" priority="26">
      <formula>$I15&lt;$I11</formula>
    </cfRule>
    <cfRule type="expression" dxfId="18" priority="25">
      <formula>AND($I15=$I11,$F15&lt;$F11)</formula>
    </cfRule>
  </conditionalFormatting>
  <conditionalFormatting sqref="K5:N5">
    <cfRule type="expression" dxfId="17" priority="22">
      <formula>AND($N5=$N13,$K5&lt;$K13)</formula>
    </cfRule>
    <cfRule type="expression" dxfId="16" priority="23">
      <formula>$N5&lt;$N13</formula>
    </cfRule>
    <cfRule type="expression" dxfId="15" priority="24">
      <formula>$N5&gt;$N13</formula>
    </cfRule>
  </conditionalFormatting>
  <conditionalFormatting sqref="K13:N13">
    <cfRule type="expression" dxfId="14" priority="18">
      <formula>$N13&gt;$N5</formula>
    </cfRule>
    <cfRule type="expression" dxfId="13" priority="16">
      <formula>AND($N13=$N5,$K13&lt;$K5)</formula>
    </cfRule>
    <cfRule type="expression" dxfId="12" priority="17">
      <formula>$N13&lt;$N5</formula>
    </cfRule>
  </conditionalFormatting>
  <conditionalFormatting sqref="K21:N21">
    <cfRule type="expression" dxfId="11" priority="19">
      <formula>AND($N21=$N29,$K21&lt;$K29)</formula>
    </cfRule>
    <cfRule type="expression" dxfId="10" priority="21">
      <formula>$N21&gt;$N29</formula>
    </cfRule>
    <cfRule type="expression" dxfId="9" priority="20">
      <formula>$N21&lt;$N29</formula>
    </cfRule>
  </conditionalFormatting>
  <conditionalFormatting sqref="K29:N29">
    <cfRule type="expression" dxfId="8" priority="15">
      <formula>$N29&gt;$N21</formula>
    </cfRule>
    <cfRule type="expression" dxfId="7" priority="14">
      <formula>$N29&lt;$N21</formula>
    </cfRule>
    <cfRule type="expression" dxfId="6" priority="13">
      <formula>AND($N29=$N21,$K29&lt;$K21)</formula>
    </cfRule>
  </conditionalFormatting>
  <conditionalFormatting sqref="P9:S9">
    <cfRule type="expression" dxfId="5" priority="5">
      <formula>$S9&lt;$S25</formula>
    </cfRule>
    <cfRule type="expression" dxfId="4" priority="4">
      <formula>AND($S9=$S25,$P9&lt;$P25)</formula>
    </cfRule>
    <cfRule type="expression" dxfId="3" priority="6">
      <formula>$S9&gt;$S25</formula>
    </cfRule>
  </conditionalFormatting>
  <conditionalFormatting sqref="P25:S25">
    <cfRule type="expression" dxfId="2" priority="1">
      <formula>AND($S25=$S9,$P25&lt;$P9)</formula>
    </cfRule>
    <cfRule type="expression" dxfId="1" priority="3">
      <formula>$S25&gt;$S9</formula>
    </cfRule>
    <cfRule type="expression" dxfId="0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805C-8234-4D31-A1FE-079EA9D3EC91}">
  <dimension ref="A1:AO27"/>
  <sheetViews>
    <sheetView topLeftCell="L1" zoomScale="108" workbookViewId="0">
      <selection activeCell="AN17" sqref="AN17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1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>
        <f>VLOOKUP('Round 1'!$A3,INDEX(Entry!$E$2:$U$23,1,'Round 1'!$A$1*2-1):'Entry'!$U$33,18-$A$1*2,0)</f>
        <v>18</v>
      </c>
      <c r="C3" t="str">
        <f>VLOOKUP('Round 1'!$A3,INDEX(Entry!$E$2:$U$23,1,'Round 1'!$A$1*2-1):'Entry'!$U$33,19-$A$1*2,0)</f>
        <v>Matthew Denham</v>
      </c>
      <c r="H3">
        <f>ROUND(IFERROR(AVERAGE(E3:G3),0),2)</f>
        <v>0</v>
      </c>
      <c r="L3">
        <f t="shared" ref="L3:L27" si="0">ROUND(IFERROR(AVERAGE(I3:K3),0),2)</f>
        <v>0</v>
      </c>
      <c r="M3">
        <f t="shared" ref="M3:M27" si="1">MAX(H3,L3)</f>
        <v>0</v>
      </c>
      <c r="N3">
        <f>IF(H3=M3,L3,H3)</f>
        <v>0</v>
      </c>
      <c r="O3">
        <f>IFERROR(M3+N3/1000+((1000-B3)/1000000),0)</f>
        <v>9.8200000000000002E-4</v>
      </c>
      <c r="P3">
        <f>RANK(O3,$O$3:$O$27,0)</f>
        <v>15</v>
      </c>
      <c r="R3">
        <f>B3</f>
        <v>18</v>
      </c>
      <c r="S3" t="str">
        <f>C3</f>
        <v>Matthew Denham</v>
      </c>
      <c r="T3">
        <f>Table2[[#This Row],[Max]]</f>
        <v>0</v>
      </c>
      <c r="U3">
        <f>Table2[[#This Row],[Min]]</f>
        <v>0</v>
      </c>
      <c r="X3">
        <f>Table1[[#This Row],[Column1]]</f>
        <v>1</v>
      </c>
      <c r="Y3">
        <v>1</v>
      </c>
      <c r="Z3">
        <f t="shared" ref="Z3:Z27" si="2">VLOOKUP(Y3,$P$3:$U$27,3,0)</f>
        <v>55</v>
      </c>
      <c r="AA3" t="str">
        <f t="shared" ref="AA3:AA22" si="3">VLOOKUP(Y3,$P$3:$U$27,4,0)</f>
        <v>Oliver Evans</v>
      </c>
      <c r="AB3">
        <f t="shared" ref="AB3:AB22" si="4">VLOOKUP(Y3,$P$3:$U$27,5,0)</f>
        <v>91.33</v>
      </c>
      <c r="AC3">
        <f t="shared" ref="AC3:AC22" si="5">VLOOKUP(Y3,$P$3:$U$27,6,0)</f>
        <v>90</v>
      </c>
      <c r="AD3">
        <f>VLOOKUP(Table1[[#This Row],['#]],Table2[['#]:[Drop]],16,0)</f>
        <v>0</v>
      </c>
      <c r="AE3">
        <f>COUNTIF($AD$3:AD3,"X")</f>
        <v>0</v>
      </c>
      <c r="AF3">
        <f>IF(Table1[[#This Row],[Drop Hide]]="X",16+Table1[[#This Row],[Count drop hide]],IF(Table1[[#This Row],[Rank]]-Table1[[#This Row],[Count drop hide]]&gt;16,Table1[[#This Row],[Rank]],Table1[[#This Row],[Rank]]-Table1[[#This Row],[Count drop hide]]))</f>
        <v>1</v>
      </c>
      <c r="AG3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3">
        <v>1</v>
      </c>
      <c r="AJ3">
        <f>VLOOKUP(AI3,$X$3:$AA$27,3,0)</f>
        <v>55</v>
      </c>
      <c r="AK3" t="str">
        <f>VLOOKUP(AI3,$X$3:$AA$27,4,0)</f>
        <v>Oliver Evans</v>
      </c>
      <c r="AM3" s="1">
        <v>1</v>
      </c>
      <c r="AN3" s="1">
        <f>VLOOKUP(AM3,$AI$3:$AL$18,2,0)</f>
        <v>55</v>
      </c>
      <c r="AO3" s="1" t="str">
        <f>VLOOKUP(AM3,$AI$3:$AL$18,3,0)</f>
        <v>Oliver Evans</v>
      </c>
    </row>
    <row r="4" spans="1:41" x14ac:dyDescent="0.3">
      <c r="A4">
        <v>2</v>
      </c>
      <c r="B4">
        <f>VLOOKUP('Round 1'!$A4,INDEX(Entry!$E$2:$U$23,1,'Round 1'!$A$1*2-1):'Entry'!$U$33,18-$A$1*2,0)</f>
        <v>22</v>
      </c>
      <c r="C4" t="str">
        <f>VLOOKUP('Round 1'!$A4,INDEX(Entry!$E$2:$U$23,1,'Round 1'!$A$1*2-1):'Entry'!$U$33,19-$A$1*2,0)</f>
        <v>Joel Conlan</v>
      </c>
      <c r="D4" s="6" t="s">
        <v>106</v>
      </c>
      <c r="H4">
        <f t="shared" ref="H4:H27" si="6">ROUND(IFERROR(AVERAGE(E4:G4),0),2)</f>
        <v>0</v>
      </c>
      <c r="L4">
        <f t="shared" si="0"/>
        <v>0</v>
      </c>
      <c r="M4">
        <f t="shared" si="1"/>
        <v>0</v>
      </c>
      <c r="N4">
        <f t="shared" ref="N4:N27" si="7">IF(H4=M4,L4,H4)</f>
        <v>0</v>
      </c>
      <c r="O4">
        <f t="shared" ref="O4:O27" si="8">IFERROR(M4+N4/1000+((1000-B4)/1000000),0)</f>
        <v>9.7799999999999992E-4</v>
      </c>
      <c r="P4">
        <f t="shared" ref="P4:P27" si="9">RANK(O4,$O$3:$O$27,0)</f>
        <v>16</v>
      </c>
      <c r="R4">
        <f t="shared" ref="R4:R27" si="10">B4</f>
        <v>22</v>
      </c>
      <c r="S4" t="str">
        <f t="shared" ref="S4:S27" si="11">C4</f>
        <v>Joel Conlan</v>
      </c>
      <c r="T4">
        <f>Table2[[#This Row],[Max]]</f>
        <v>0</v>
      </c>
      <c r="U4">
        <f>Table2[[#This Row],[Min]]</f>
        <v>0</v>
      </c>
      <c r="X4">
        <f>Table1[[#This Row],[Column1]]</f>
        <v>2</v>
      </c>
      <c r="Y4">
        <v>2</v>
      </c>
      <c r="Z4">
        <f t="shared" si="2"/>
        <v>61</v>
      </c>
      <c r="AA4" t="str">
        <f t="shared" si="3"/>
        <v>Martin Richards</v>
      </c>
      <c r="AB4">
        <f t="shared" si="4"/>
        <v>91.33</v>
      </c>
      <c r="AC4">
        <f t="shared" si="5"/>
        <v>16.670000000000002</v>
      </c>
      <c r="AD4">
        <f>VLOOKUP(Table1[[#This Row],['#]],Table2[['#]:[Drop]],16,0)</f>
        <v>0</v>
      </c>
      <c r="AE4">
        <f>COUNTIF($AD$3:AD4,"X")</f>
        <v>0</v>
      </c>
      <c r="AF4">
        <f>IF(Table1[[#This Row],[Drop Hide]]="X",16+Table1[[#This Row],[Count drop hide]],IF(Table1[[#This Row],[Rank]]-Table1[[#This Row],[Count drop hide]]&gt;16,Table1[[#This Row],[Rank]],Table1[[#This Row],[Rank]]-Table1[[#This Row],[Count drop hide]]))</f>
        <v>2</v>
      </c>
      <c r="AG4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4">
        <v>2</v>
      </c>
      <c r="AJ4">
        <f t="shared" ref="AJ4:AJ18" si="12">VLOOKUP(AI4,$X$3:$AA$27,3,0)</f>
        <v>61</v>
      </c>
      <c r="AK4" t="str">
        <f t="shared" ref="AK4:AK18" si="13">VLOOKUP(AI4,$X$3:$AA$27,4,0)</f>
        <v>Martin Richards</v>
      </c>
      <c r="AM4" s="1">
        <v>16</v>
      </c>
      <c r="AN4" s="1">
        <f>VLOOKUP(AM4,$AI$3:$AL$18,2,0)</f>
        <v>22</v>
      </c>
      <c r="AO4" s="1" t="str">
        <f>VLOOKUP(AM4,$AI$3:$AL$18,3,0)</f>
        <v>Joel Conlan</v>
      </c>
    </row>
    <row r="5" spans="1:41" x14ac:dyDescent="0.3">
      <c r="A5">
        <v>3</v>
      </c>
      <c r="B5">
        <f>VLOOKUP('Round 1'!$A5,INDEX(Entry!$E$2:$U$23,1,'Round 1'!$A$1*2-1):'Entry'!$U$33,18-$A$1*2,0)</f>
        <v>26</v>
      </c>
      <c r="C5" t="str">
        <f>VLOOKUP('Round 1'!$A5,INDEX(Entry!$E$2:$U$23,1,'Round 1'!$A$1*2-1):'Entry'!$U$33,19-$A$1*2,0)</f>
        <v>Haydn Cruickshank</v>
      </c>
      <c r="D5" s="6" t="s">
        <v>106</v>
      </c>
      <c r="E5" s="6">
        <v>73</v>
      </c>
      <c r="F5" s="6">
        <v>69</v>
      </c>
      <c r="G5" s="6">
        <v>65</v>
      </c>
      <c r="H5">
        <f t="shared" si="6"/>
        <v>69</v>
      </c>
      <c r="I5" s="6">
        <v>35</v>
      </c>
      <c r="J5" s="6">
        <v>30</v>
      </c>
      <c r="K5" s="6">
        <v>33</v>
      </c>
      <c r="L5">
        <f t="shared" si="0"/>
        <v>32.67</v>
      </c>
      <c r="M5">
        <f t="shared" si="1"/>
        <v>69</v>
      </c>
      <c r="N5">
        <f t="shared" si="7"/>
        <v>32.67</v>
      </c>
      <c r="O5">
        <f t="shared" si="8"/>
        <v>69.033643999999995</v>
      </c>
      <c r="P5">
        <f t="shared" si="9"/>
        <v>12</v>
      </c>
      <c r="R5">
        <f t="shared" si="10"/>
        <v>26</v>
      </c>
      <c r="S5" t="str">
        <f t="shared" si="11"/>
        <v>Haydn Cruickshank</v>
      </c>
      <c r="T5">
        <f>Table2[[#This Row],[Max]]</f>
        <v>69</v>
      </c>
      <c r="U5">
        <f>Table2[[#This Row],[Min]]</f>
        <v>32.67</v>
      </c>
      <c r="X5">
        <f>Table1[[#This Row],[Column1]]</f>
        <v>3</v>
      </c>
      <c r="Y5">
        <v>3</v>
      </c>
      <c r="Z5">
        <f t="shared" si="2"/>
        <v>94</v>
      </c>
      <c r="AA5" t="str">
        <f t="shared" si="3"/>
        <v>Paul Cunnington</v>
      </c>
      <c r="AB5">
        <f t="shared" si="4"/>
        <v>89.67</v>
      </c>
      <c r="AC5">
        <f t="shared" si="5"/>
        <v>86.67</v>
      </c>
      <c r="AD5">
        <f>VLOOKUP(Table1[[#This Row],['#]],Table2[['#]:[Drop]],16,0)</f>
        <v>0</v>
      </c>
      <c r="AE5">
        <f>COUNTIF($AD$3:AD5,"X")</f>
        <v>0</v>
      </c>
      <c r="AF5">
        <f>IF(Table1[[#This Row],[Drop Hide]]="X",16+Table1[[#This Row],[Count drop hide]],IF(Table1[[#This Row],[Rank]]-Table1[[#This Row],[Count drop hide]]&gt;16,Table1[[#This Row],[Rank]],Table1[[#This Row],[Rank]]-Table1[[#This Row],[Count drop hide]]))</f>
        <v>3</v>
      </c>
      <c r="AG5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5">
        <v>3</v>
      </c>
      <c r="AJ5">
        <f t="shared" si="12"/>
        <v>94</v>
      </c>
      <c r="AK5" t="str">
        <f t="shared" si="13"/>
        <v>Paul Cunnington</v>
      </c>
    </row>
    <row r="6" spans="1:41" x14ac:dyDescent="0.3">
      <c r="A6">
        <v>4</v>
      </c>
      <c r="B6">
        <f>VLOOKUP('Round 1'!$A6,INDEX(Entry!$E$2:$U$23,1,'Round 1'!$A$1*2-1):'Entry'!$U$33,18-$A$1*2,0)</f>
        <v>39</v>
      </c>
      <c r="C6" t="str">
        <f>VLOOKUP('Round 1'!$A6,INDEX(Entry!$E$2:$U$23,1,'Round 1'!$A$1*2-1):'Entry'!$U$33,19-$A$1*2,0)</f>
        <v>Paul Beechey</v>
      </c>
      <c r="D6" s="6" t="s">
        <v>106</v>
      </c>
      <c r="E6" s="6">
        <v>30</v>
      </c>
      <c r="F6" s="6">
        <v>30</v>
      </c>
      <c r="G6" s="6">
        <v>35</v>
      </c>
      <c r="H6">
        <f t="shared" si="6"/>
        <v>31.67</v>
      </c>
      <c r="I6" s="6">
        <v>40</v>
      </c>
      <c r="J6" s="6">
        <v>30</v>
      </c>
      <c r="K6" s="6">
        <v>45</v>
      </c>
      <c r="L6">
        <f t="shared" si="0"/>
        <v>38.33</v>
      </c>
      <c r="M6">
        <f t="shared" si="1"/>
        <v>38.33</v>
      </c>
      <c r="N6">
        <f t="shared" si="7"/>
        <v>31.67</v>
      </c>
      <c r="O6">
        <f t="shared" si="8"/>
        <v>38.362630999999993</v>
      </c>
      <c r="P6">
        <f t="shared" si="9"/>
        <v>14</v>
      </c>
      <c r="R6">
        <f t="shared" si="10"/>
        <v>39</v>
      </c>
      <c r="S6" t="str">
        <f t="shared" si="11"/>
        <v>Paul Beechey</v>
      </c>
      <c r="T6">
        <f>Table2[[#This Row],[Max]]</f>
        <v>38.33</v>
      </c>
      <c r="U6">
        <f>Table2[[#This Row],[Min]]</f>
        <v>31.67</v>
      </c>
      <c r="X6">
        <f>Table1[[#This Row],[Column1]]</f>
        <v>4</v>
      </c>
      <c r="Y6">
        <v>4</v>
      </c>
      <c r="Z6">
        <f t="shared" si="2"/>
        <v>86</v>
      </c>
      <c r="AA6" t="str">
        <f t="shared" si="3"/>
        <v>David Bastin</v>
      </c>
      <c r="AB6">
        <f t="shared" si="4"/>
        <v>89</v>
      </c>
      <c r="AC6">
        <f t="shared" si="5"/>
        <v>81.67</v>
      </c>
      <c r="AD6">
        <f>VLOOKUP(Table1[[#This Row],['#]],Table2[['#]:[Drop]],16,0)</f>
        <v>0</v>
      </c>
      <c r="AE6">
        <f>COUNTIF($AD$3:AD6,"X")</f>
        <v>0</v>
      </c>
      <c r="AF6">
        <f>IF(Table1[[#This Row],[Drop Hide]]="X",16+Table1[[#This Row],[Count drop hide]],IF(Table1[[#This Row],[Rank]]-Table1[[#This Row],[Count drop hide]]&gt;16,Table1[[#This Row],[Rank]],Table1[[#This Row],[Rank]]-Table1[[#This Row],[Count drop hide]]))</f>
        <v>4</v>
      </c>
      <c r="AG6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6">
        <v>4</v>
      </c>
      <c r="AJ6">
        <f t="shared" si="12"/>
        <v>86</v>
      </c>
      <c r="AK6" t="str">
        <f t="shared" si="13"/>
        <v>David Bastin</v>
      </c>
      <c r="AM6" s="1">
        <v>8</v>
      </c>
      <c r="AN6" s="1">
        <f>VLOOKUP(AM6,$AI$3:$AL$18,2,0)</f>
        <v>366</v>
      </c>
      <c r="AO6" s="1" t="str">
        <f>VLOOKUP(AM6,$AI$3:$AL$18,3,0)</f>
        <v>Micheal Bennett</v>
      </c>
    </row>
    <row r="7" spans="1:41" x14ac:dyDescent="0.3">
      <c r="A7">
        <v>5</v>
      </c>
      <c r="B7">
        <f>VLOOKUP('Round 1'!$A7,INDEX(Entry!$E$2:$U$23,1,'Round 1'!$A$1*2-1):'Entry'!$U$33,18-$A$1*2,0)</f>
        <v>41</v>
      </c>
      <c r="C7" t="str">
        <f>VLOOKUP('Round 1'!$A7,INDEX(Entry!$E$2:$U$23,1,'Round 1'!$A$1*2-1):'Entry'!$U$33,19-$A$1*2,0)</f>
        <v>Ian Phillips</v>
      </c>
      <c r="D7" s="6" t="s">
        <v>106</v>
      </c>
      <c r="E7" s="6">
        <v>68</v>
      </c>
      <c r="F7" s="6">
        <v>64</v>
      </c>
      <c r="G7" s="6">
        <v>68</v>
      </c>
      <c r="H7">
        <f t="shared" si="6"/>
        <v>66.67</v>
      </c>
      <c r="I7" s="6">
        <v>82</v>
      </c>
      <c r="J7" s="6">
        <v>80</v>
      </c>
      <c r="K7" s="6">
        <v>79</v>
      </c>
      <c r="L7">
        <f t="shared" si="0"/>
        <v>80.33</v>
      </c>
      <c r="M7">
        <f t="shared" si="1"/>
        <v>80.33</v>
      </c>
      <c r="N7">
        <f t="shared" si="7"/>
        <v>66.67</v>
      </c>
      <c r="O7">
        <f t="shared" si="8"/>
        <v>80.397628999999995</v>
      </c>
      <c r="P7">
        <f t="shared" si="9"/>
        <v>9</v>
      </c>
      <c r="R7">
        <f t="shared" si="10"/>
        <v>41</v>
      </c>
      <c r="S7" t="str">
        <f t="shared" si="11"/>
        <v>Ian Phillips</v>
      </c>
      <c r="T7">
        <f>Table2[[#This Row],[Max]]</f>
        <v>80.33</v>
      </c>
      <c r="U7">
        <f>Table2[[#This Row],[Min]]</f>
        <v>66.67</v>
      </c>
      <c r="X7">
        <f>Table1[[#This Row],[Column1]]</f>
        <v>5</v>
      </c>
      <c r="Y7">
        <v>5</v>
      </c>
      <c r="Z7">
        <f t="shared" si="2"/>
        <v>93</v>
      </c>
      <c r="AA7" t="str">
        <f t="shared" si="3"/>
        <v>Josh King</v>
      </c>
      <c r="AB7">
        <f t="shared" si="4"/>
        <v>88.33</v>
      </c>
      <c r="AC7">
        <f t="shared" si="5"/>
        <v>87</v>
      </c>
      <c r="AD7">
        <f>VLOOKUP(Table1[[#This Row],['#]],Table2[['#]:[Drop]],16,0)</f>
        <v>0</v>
      </c>
      <c r="AE7">
        <f>COUNTIF($AD$3:AD7,"X")</f>
        <v>0</v>
      </c>
      <c r="AF7">
        <f>IF(Table1[[#This Row],[Drop Hide]]="X",16+Table1[[#This Row],[Count drop hide]],IF(Table1[[#This Row],[Rank]]-Table1[[#This Row],[Count drop hide]]&gt;16,Table1[[#This Row],[Rank]],Table1[[#This Row],[Rank]]-Table1[[#This Row],[Count drop hide]]))</f>
        <v>5</v>
      </c>
      <c r="AG7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7">
        <v>5</v>
      </c>
      <c r="AJ7">
        <f t="shared" si="12"/>
        <v>93</v>
      </c>
      <c r="AK7" t="str">
        <f t="shared" si="13"/>
        <v>Josh King</v>
      </c>
      <c r="AM7" s="1">
        <v>9</v>
      </c>
      <c r="AN7" s="1">
        <f>VLOOKUP(AM7,$AI$3:$AL$18,2,0)</f>
        <v>41</v>
      </c>
      <c r="AO7" s="1" t="str">
        <f>VLOOKUP(AM7,$AI$3:$AL$18,3,0)</f>
        <v>Ian Phillips</v>
      </c>
    </row>
    <row r="8" spans="1:41" x14ac:dyDescent="0.3">
      <c r="A8">
        <v>6</v>
      </c>
      <c r="B8">
        <f>VLOOKUP('Round 1'!$A8,INDEX(Entry!$E$2:$U$23,1,'Round 1'!$A$1*2-1):'Entry'!$U$33,18-$A$1*2,0)</f>
        <v>55</v>
      </c>
      <c r="C8" t="str">
        <f>VLOOKUP('Round 1'!$A8,INDEX(Entry!$E$2:$U$23,1,'Round 1'!$A$1*2-1):'Entry'!$U$33,19-$A$1*2,0)</f>
        <v>Oliver Evans</v>
      </c>
      <c r="D8" s="6" t="s">
        <v>106</v>
      </c>
      <c r="E8" s="6">
        <v>90</v>
      </c>
      <c r="F8" s="6">
        <v>90</v>
      </c>
      <c r="G8" s="6">
        <v>90</v>
      </c>
      <c r="H8">
        <f t="shared" si="6"/>
        <v>90</v>
      </c>
      <c r="I8" s="6">
        <v>90</v>
      </c>
      <c r="J8" s="6">
        <v>92</v>
      </c>
      <c r="K8" s="6">
        <v>92</v>
      </c>
      <c r="L8">
        <f t="shared" si="0"/>
        <v>91.33</v>
      </c>
      <c r="M8">
        <f t="shared" si="1"/>
        <v>91.33</v>
      </c>
      <c r="N8">
        <f t="shared" si="7"/>
        <v>90</v>
      </c>
      <c r="O8">
        <f t="shared" si="8"/>
        <v>91.420945000000003</v>
      </c>
      <c r="P8">
        <f t="shared" si="9"/>
        <v>1</v>
      </c>
      <c r="R8">
        <f t="shared" si="10"/>
        <v>55</v>
      </c>
      <c r="S8" t="str">
        <f t="shared" si="11"/>
        <v>Oliver Evans</v>
      </c>
      <c r="T8">
        <f>Table2[[#This Row],[Max]]</f>
        <v>91.33</v>
      </c>
      <c r="U8">
        <f>Table2[[#This Row],[Min]]</f>
        <v>90</v>
      </c>
      <c r="X8">
        <f>Table1[[#This Row],[Column1]]</f>
        <v>6</v>
      </c>
      <c r="Y8">
        <v>6</v>
      </c>
      <c r="Z8">
        <f t="shared" si="2"/>
        <v>147</v>
      </c>
      <c r="AA8" t="str">
        <f t="shared" si="3"/>
        <v>Richie Gilbey</v>
      </c>
      <c r="AB8">
        <f t="shared" si="4"/>
        <v>86</v>
      </c>
      <c r="AC8">
        <f t="shared" si="5"/>
        <v>83.33</v>
      </c>
      <c r="AD8">
        <f>VLOOKUP(Table1[[#This Row],['#]],Table2[['#]:[Drop]],16,0)</f>
        <v>0</v>
      </c>
      <c r="AE8">
        <f>COUNTIF($AD$3:AD8,"X")</f>
        <v>0</v>
      </c>
      <c r="AF8">
        <f>IF(Table1[[#This Row],[Drop Hide]]="X",16+Table1[[#This Row],[Count drop hide]],IF(Table1[[#This Row],[Rank]]-Table1[[#This Row],[Count drop hide]]&gt;16,Table1[[#This Row],[Rank]],Table1[[#This Row],[Rank]]-Table1[[#This Row],[Count drop hide]]))</f>
        <v>6</v>
      </c>
      <c r="AG8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8">
        <v>6</v>
      </c>
      <c r="AJ8">
        <f t="shared" si="12"/>
        <v>147</v>
      </c>
      <c r="AK8" t="str">
        <f t="shared" si="13"/>
        <v>Richie Gilbey</v>
      </c>
    </row>
    <row r="9" spans="1:41" x14ac:dyDescent="0.3">
      <c r="A9">
        <v>7</v>
      </c>
      <c r="B9">
        <f>VLOOKUP('Round 1'!$A9,INDEX(Entry!$E$2:$U$23,1,'Round 1'!$A$1*2-1):'Entry'!$U$33,18-$A$1*2,0)</f>
        <v>56</v>
      </c>
      <c r="C9" t="str">
        <f>VLOOKUP('Round 1'!$A9,INDEX(Entry!$E$2:$U$23,1,'Round 1'!$A$1*2-1):'Entry'!$U$33,19-$A$1*2,0)</f>
        <v>Jonathan Smith</v>
      </c>
      <c r="H9">
        <f t="shared" si="6"/>
        <v>0</v>
      </c>
      <c r="L9">
        <f t="shared" si="0"/>
        <v>0</v>
      </c>
      <c r="M9">
        <f t="shared" si="1"/>
        <v>0</v>
      </c>
      <c r="N9">
        <f t="shared" si="7"/>
        <v>0</v>
      </c>
      <c r="O9">
        <f t="shared" si="8"/>
        <v>9.4399999999999996E-4</v>
      </c>
      <c r="P9">
        <f t="shared" si="9"/>
        <v>17</v>
      </c>
      <c r="R9">
        <f t="shared" si="10"/>
        <v>56</v>
      </c>
      <c r="S9" t="str">
        <f t="shared" si="11"/>
        <v>Jonathan Smith</v>
      </c>
      <c r="T9">
        <f>Table2[[#This Row],[Max]]</f>
        <v>0</v>
      </c>
      <c r="U9">
        <f>Table2[[#This Row],[Min]]</f>
        <v>0</v>
      </c>
      <c r="X9">
        <f>Table1[[#This Row],[Column1]]</f>
        <v>7</v>
      </c>
      <c r="Y9">
        <v>7</v>
      </c>
      <c r="Z9">
        <f t="shared" si="2"/>
        <v>128</v>
      </c>
      <c r="AA9" t="str">
        <f t="shared" si="3"/>
        <v>Lwi Edwards</v>
      </c>
      <c r="AB9">
        <f t="shared" si="4"/>
        <v>85.67</v>
      </c>
      <c r="AC9">
        <f t="shared" si="5"/>
        <v>84.33</v>
      </c>
      <c r="AD9">
        <f>VLOOKUP(Table1[[#This Row],['#]],Table2[['#]:[Drop]],16,0)</f>
        <v>0</v>
      </c>
      <c r="AE9">
        <f>COUNTIF($AD$3:AD9,"X")</f>
        <v>0</v>
      </c>
      <c r="AF9">
        <f>IF(Table1[[#This Row],[Drop Hide]]="X",16+Table1[[#This Row],[Count drop hide]],IF(Table1[[#This Row],[Rank]]-Table1[[#This Row],[Count drop hide]]&gt;16,Table1[[#This Row],[Rank]],Table1[[#This Row],[Rank]]-Table1[[#This Row],[Count drop hide]]))</f>
        <v>7</v>
      </c>
      <c r="AG9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9">
        <v>7</v>
      </c>
      <c r="AJ9">
        <f t="shared" si="12"/>
        <v>128</v>
      </c>
      <c r="AK9" t="str">
        <f t="shared" si="13"/>
        <v>Lwi Edwards</v>
      </c>
      <c r="AM9" s="1">
        <v>4</v>
      </c>
      <c r="AN9" s="1">
        <f>VLOOKUP(AM9,$AI$3:$AL$18,2,0)</f>
        <v>86</v>
      </c>
      <c r="AO9" s="1" t="str">
        <f>VLOOKUP(AM9,$AI$3:$AL$18,3,0)</f>
        <v>David Bastin</v>
      </c>
    </row>
    <row r="10" spans="1:41" x14ac:dyDescent="0.3">
      <c r="A10">
        <v>8</v>
      </c>
      <c r="B10">
        <f>VLOOKUP('Round 1'!$A10,INDEX(Entry!$E$2:$U$23,1,'Round 1'!$A$1*2-1):'Entry'!$U$33,18-$A$1*2,0)</f>
        <v>61</v>
      </c>
      <c r="C10" t="str">
        <f>VLOOKUP('Round 1'!$A10,INDEX(Entry!$E$2:$U$23,1,'Round 1'!$A$1*2-1):'Entry'!$U$33,19-$A$1*2,0)</f>
        <v>Martin Richards</v>
      </c>
      <c r="D10" s="6" t="s">
        <v>106</v>
      </c>
      <c r="E10" s="6">
        <v>10</v>
      </c>
      <c r="F10" s="6">
        <v>20</v>
      </c>
      <c r="G10" s="6">
        <v>20</v>
      </c>
      <c r="H10">
        <f t="shared" si="6"/>
        <v>16.670000000000002</v>
      </c>
      <c r="I10" s="6">
        <v>89</v>
      </c>
      <c r="J10" s="6">
        <v>94</v>
      </c>
      <c r="K10" s="6">
        <v>91</v>
      </c>
      <c r="L10">
        <f t="shared" si="0"/>
        <v>91.33</v>
      </c>
      <c r="M10">
        <f t="shared" si="1"/>
        <v>91.33</v>
      </c>
      <c r="N10">
        <f t="shared" si="7"/>
        <v>16.670000000000002</v>
      </c>
      <c r="O10">
        <f t="shared" si="8"/>
        <v>91.347609000000006</v>
      </c>
      <c r="P10">
        <f t="shared" si="9"/>
        <v>2</v>
      </c>
      <c r="R10">
        <f t="shared" si="10"/>
        <v>61</v>
      </c>
      <c r="S10" t="str">
        <f t="shared" si="11"/>
        <v>Martin Richards</v>
      </c>
      <c r="T10">
        <f>Table2[[#This Row],[Max]]</f>
        <v>91.33</v>
      </c>
      <c r="U10">
        <f>Table2[[#This Row],[Min]]</f>
        <v>16.670000000000002</v>
      </c>
      <c r="X10">
        <f>Table1[[#This Row],[Column1]]</f>
        <v>8</v>
      </c>
      <c r="Y10">
        <v>8</v>
      </c>
      <c r="Z10">
        <f t="shared" si="2"/>
        <v>366</v>
      </c>
      <c r="AA10" t="str">
        <f t="shared" si="3"/>
        <v>Micheal Bennett</v>
      </c>
      <c r="AB10">
        <f t="shared" si="4"/>
        <v>81.67</v>
      </c>
      <c r="AC10">
        <f t="shared" si="5"/>
        <v>75.67</v>
      </c>
      <c r="AD10">
        <f>VLOOKUP(Table1[[#This Row],['#]],Table2[['#]:[Drop]],16,0)</f>
        <v>0</v>
      </c>
      <c r="AE10">
        <f>COUNTIF($AD$3:AD10,"X")</f>
        <v>0</v>
      </c>
      <c r="AF10">
        <f>IF(Table1[[#This Row],[Drop Hide]]="X",16+Table1[[#This Row],[Count drop hide]],IF(Table1[[#This Row],[Rank]]-Table1[[#This Row],[Count drop hide]]&gt;16,Table1[[#This Row],[Rank]],Table1[[#This Row],[Rank]]-Table1[[#This Row],[Count drop hide]]))</f>
        <v>8</v>
      </c>
      <c r="AG10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0">
        <v>8</v>
      </c>
      <c r="AJ10">
        <f t="shared" si="12"/>
        <v>366</v>
      </c>
      <c r="AK10" t="str">
        <f t="shared" si="13"/>
        <v>Micheal Bennett</v>
      </c>
      <c r="AM10" s="1">
        <v>13</v>
      </c>
      <c r="AN10" s="1">
        <f>VLOOKUP(AM10,$AI$3:$AL$18,2,0)</f>
        <v>112</v>
      </c>
      <c r="AO10" s="1" t="str">
        <f>VLOOKUP(AM10,$AI$3:$AL$18,3,0)</f>
        <v>Nathan Chivers</v>
      </c>
    </row>
    <row r="11" spans="1:41" x14ac:dyDescent="0.3">
      <c r="A11">
        <v>9</v>
      </c>
      <c r="B11">
        <f>VLOOKUP('Round 1'!$A11,INDEX(Entry!$E$2:$U$23,1,'Round 1'!$A$1*2-1):'Entry'!$U$33,18-$A$1*2,0)</f>
        <v>66</v>
      </c>
      <c r="C11" t="str">
        <f>VLOOKUP('Round 1'!$A11,INDEX(Entry!$E$2:$U$23,1,'Round 1'!$A$1*2-1):'Entry'!$U$33,19-$A$1*2,0)</f>
        <v>Andy Frost</v>
      </c>
      <c r="D11" s="6" t="s">
        <v>106</v>
      </c>
      <c r="E11" s="6">
        <v>60</v>
      </c>
      <c r="F11" s="6">
        <v>50</v>
      </c>
      <c r="G11" s="6">
        <v>55</v>
      </c>
      <c r="H11">
        <f t="shared" si="6"/>
        <v>55</v>
      </c>
      <c r="I11" s="6">
        <v>82</v>
      </c>
      <c r="J11" s="6">
        <v>79</v>
      </c>
      <c r="K11" s="6">
        <v>72</v>
      </c>
      <c r="L11">
        <f t="shared" si="0"/>
        <v>77.67</v>
      </c>
      <c r="M11">
        <f t="shared" si="1"/>
        <v>77.67</v>
      </c>
      <c r="N11">
        <f t="shared" si="7"/>
        <v>55</v>
      </c>
      <c r="O11">
        <f t="shared" si="8"/>
        <v>77.725934000000009</v>
      </c>
      <c r="P11">
        <f t="shared" si="9"/>
        <v>10</v>
      </c>
      <c r="R11">
        <f t="shared" si="10"/>
        <v>66</v>
      </c>
      <c r="S11" t="str">
        <f t="shared" si="11"/>
        <v>Andy Frost</v>
      </c>
      <c r="T11">
        <f>Table2[[#This Row],[Max]]</f>
        <v>77.67</v>
      </c>
      <c r="U11">
        <f>Table2[[#This Row],[Min]]</f>
        <v>55</v>
      </c>
      <c r="X11">
        <f>Table1[[#This Row],[Column1]]</f>
        <v>9</v>
      </c>
      <c r="Y11">
        <v>9</v>
      </c>
      <c r="Z11">
        <f t="shared" si="2"/>
        <v>41</v>
      </c>
      <c r="AA11" t="str">
        <f t="shared" si="3"/>
        <v>Ian Phillips</v>
      </c>
      <c r="AB11">
        <f t="shared" si="4"/>
        <v>80.33</v>
      </c>
      <c r="AC11">
        <f t="shared" si="5"/>
        <v>66.67</v>
      </c>
      <c r="AD11">
        <f>VLOOKUP(Table1[[#This Row],['#]],Table2[['#]:[Drop]],16,0)</f>
        <v>0</v>
      </c>
      <c r="AE11">
        <f>COUNTIF($AD$3:AD11,"X")</f>
        <v>0</v>
      </c>
      <c r="AF11">
        <f>IF(Table1[[#This Row],[Drop Hide]]="X",16+Table1[[#This Row],[Count drop hide]],IF(Table1[[#This Row],[Rank]]-Table1[[#This Row],[Count drop hide]]&gt;16,Table1[[#This Row],[Rank]],Table1[[#This Row],[Rank]]-Table1[[#This Row],[Count drop hide]]))</f>
        <v>9</v>
      </c>
      <c r="AG11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1">
        <v>9</v>
      </c>
      <c r="AJ11">
        <f t="shared" si="12"/>
        <v>41</v>
      </c>
      <c r="AK11" t="str">
        <f t="shared" si="13"/>
        <v>Ian Phillips</v>
      </c>
    </row>
    <row r="12" spans="1:41" x14ac:dyDescent="0.3">
      <c r="A12">
        <v>10</v>
      </c>
      <c r="B12">
        <f>VLOOKUP('Round 1'!$A12,INDEX(Entry!$E$2:$U$23,1,'Round 1'!$A$1*2-1):'Entry'!$U$33,18-$A$1*2,0)</f>
        <v>86</v>
      </c>
      <c r="C12" t="str">
        <f>VLOOKUP('Round 1'!$A12,INDEX(Entry!$E$2:$U$23,1,'Round 1'!$A$1*2-1):'Entry'!$U$33,19-$A$1*2,0)</f>
        <v>David Bastin</v>
      </c>
      <c r="D12" s="6" t="s">
        <v>106</v>
      </c>
      <c r="E12" s="6">
        <v>78</v>
      </c>
      <c r="F12" s="6">
        <v>82</v>
      </c>
      <c r="G12" s="6">
        <v>85</v>
      </c>
      <c r="H12">
        <f t="shared" si="6"/>
        <v>81.67</v>
      </c>
      <c r="I12" s="6">
        <v>87</v>
      </c>
      <c r="J12" s="6">
        <v>90</v>
      </c>
      <c r="K12" s="6">
        <v>90</v>
      </c>
      <c r="L12">
        <f t="shared" si="0"/>
        <v>89</v>
      </c>
      <c r="M12">
        <f t="shared" si="1"/>
        <v>89</v>
      </c>
      <c r="N12">
        <f t="shared" si="7"/>
        <v>81.67</v>
      </c>
      <c r="O12">
        <f t="shared" si="8"/>
        <v>89.082583999999997</v>
      </c>
      <c r="P12">
        <f t="shared" si="9"/>
        <v>4</v>
      </c>
      <c r="R12">
        <f t="shared" si="10"/>
        <v>86</v>
      </c>
      <c r="S12" t="str">
        <f t="shared" si="11"/>
        <v>David Bastin</v>
      </c>
      <c r="T12">
        <f>Table2[[#This Row],[Max]]</f>
        <v>89</v>
      </c>
      <c r="U12">
        <f>Table2[[#This Row],[Min]]</f>
        <v>81.67</v>
      </c>
      <c r="X12">
        <f>Table1[[#This Row],[Column1]]</f>
        <v>10</v>
      </c>
      <c r="Y12">
        <v>10</v>
      </c>
      <c r="Z12">
        <f t="shared" si="2"/>
        <v>66</v>
      </c>
      <c r="AA12" t="str">
        <f t="shared" si="3"/>
        <v>Andy Frost</v>
      </c>
      <c r="AB12">
        <f t="shared" si="4"/>
        <v>77.67</v>
      </c>
      <c r="AC12">
        <f t="shared" si="5"/>
        <v>55</v>
      </c>
      <c r="AD12">
        <f>VLOOKUP(Table1[[#This Row],['#]],Table2[['#]:[Drop]],16,0)</f>
        <v>0</v>
      </c>
      <c r="AE12">
        <f>COUNTIF($AD$3:AD12,"X")</f>
        <v>0</v>
      </c>
      <c r="AF12">
        <f>IF(Table1[[#This Row],[Drop Hide]]="X",16+Table1[[#This Row],[Count drop hide]],IF(Table1[[#This Row],[Rank]]-Table1[[#This Row],[Count drop hide]]&gt;16,Table1[[#This Row],[Rank]],Table1[[#This Row],[Rank]]-Table1[[#This Row],[Count drop hide]]))</f>
        <v>10</v>
      </c>
      <c r="AG12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2">
        <v>10</v>
      </c>
      <c r="AJ12">
        <f t="shared" si="12"/>
        <v>66</v>
      </c>
      <c r="AK12" t="str">
        <f t="shared" si="13"/>
        <v>Andy Frost</v>
      </c>
      <c r="AM12" s="1">
        <v>5</v>
      </c>
      <c r="AN12" s="1">
        <f>VLOOKUP(AM12,$AI$3:$AL$18,2,0)</f>
        <v>93</v>
      </c>
      <c r="AO12" s="1" t="str">
        <f>VLOOKUP(AM12,$AI$3:$AL$18,3,0)</f>
        <v>Josh King</v>
      </c>
    </row>
    <row r="13" spans="1:41" x14ac:dyDescent="0.3">
      <c r="A13">
        <v>11</v>
      </c>
      <c r="B13">
        <f>VLOOKUP('Round 1'!$A13,INDEX(Entry!$E$2:$U$23,1,'Round 1'!$A$1*2-1):'Entry'!$U$33,18-$A$1*2,0)</f>
        <v>93</v>
      </c>
      <c r="C13" t="str">
        <f>VLOOKUP('Round 1'!$A13,INDEX(Entry!$E$2:$U$23,1,'Round 1'!$A$1*2-1):'Entry'!$U$33,19-$A$1*2,0)</f>
        <v>Josh King</v>
      </c>
      <c r="D13" s="6" t="s">
        <v>106</v>
      </c>
      <c r="E13" s="6">
        <v>88</v>
      </c>
      <c r="F13" s="6">
        <v>86</v>
      </c>
      <c r="G13" s="6">
        <v>87</v>
      </c>
      <c r="H13">
        <f t="shared" si="6"/>
        <v>87</v>
      </c>
      <c r="I13" s="6">
        <v>89</v>
      </c>
      <c r="J13" s="6">
        <v>88</v>
      </c>
      <c r="K13" s="6">
        <v>88</v>
      </c>
      <c r="L13">
        <f t="shared" si="0"/>
        <v>88.33</v>
      </c>
      <c r="M13">
        <f t="shared" si="1"/>
        <v>88.33</v>
      </c>
      <c r="N13">
        <f t="shared" si="7"/>
        <v>87</v>
      </c>
      <c r="O13">
        <f t="shared" si="8"/>
        <v>88.417907</v>
      </c>
      <c r="P13">
        <f t="shared" si="9"/>
        <v>5</v>
      </c>
      <c r="R13">
        <f t="shared" si="10"/>
        <v>93</v>
      </c>
      <c r="S13" t="str">
        <f t="shared" si="11"/>
        <v>Josh King</v>
      </c>
      <c r="T13">
        <f>Table2[[#This Row],[Max]]</f>
        <v>88.33</v>
      </c>
      <c r="U13">
        <f>Table2[[#This Row],[Min]]</f>
        <v>87</v>
      </c>
      <c r="X13">
        <f>Table1[[#This Row],[Column1]]</f>
        <v>11</v>
      </c>
      <c r="Y13">
        <v>11</v>
      </c>
      <c r="Z13">
        <f t="shared" si="2"/>
        <v>420</v>
      </c>
      <c r="AA13" t="str">
        <f t="shared" si="3"/>
        <v>Harry Love</v>
      </c>
      <c r="AB13">
        <f t="shared" si="4"/>
        <v>75</v>
      </c>
      <c r="AC13">
        <f t="shared" si="5"/>
        <v>65.33</v>
      </c>
      <c r="AD13">
        <f>VLOOKUP(Table1[[#This Row],['#]],Table2[['#]:[Drop]],16,0)</f>
        <v>0</v>
      </c>
      <c r="AE13">
        <f>COUNTIF($AD$3:AD13,"X")</f>
        <v>0</v>
      </c>
      <c r="AF13">
        <f>IF(Table1[[#This Row],[Drop Hide]]="X",16+Table1[[#This Row],[Count drop hide]],IF(Table1[[#This Row],[Rank]]-Table1[[#This Row],[Count drop hide]]&gt;16,Table1[[#This Row],[Rank]],Table1[[#This Row],[Rank]]-Table1[[#This Row],[Count drop hide]]))</f>
        <v>11</v>
      </c>
      <c r="AG13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3">
        <v>11</v>
      </c>
      <c r="AJ13">
        <f t="shared" si="12"/>
        <v>420</v>
      </c>
      <c r="AK13" t="str">
        <f t="shared" si="13"/>
        <v>Harry Love</v>
      </c>
      <c r="AM13" s="1">
        <v>12</v>
      </c>
      <c r="AN13" s="1">
        <f>VLOOKUP(AM13,$AI$3:$AL$18,2,0)</f>
        <v>26</v>
      </c>
      <c r="AO13" s="1" t="str">
        <f>VLOOKUP(AM13,$AI$3:$AL$18,3,0)</f>
        <v>Haydn Cruickshank</v>
      </c>
    </row>
    <row r="14" spans="1:41" x14ac:dyDescent="0.3">
      <c r="A14">
        <v>12</v>
      </c>
      <c r="B14">
        <f>VLOOKUP('Round 1'!$A14,INDEX(Entry!$E$2:$U$23,1,'Round 1'!$A$1*2-1):'Entry'!$U$33,18-$A$1*2,0)</f>
        <v>94</v>
      </c>
      <c r="C14" t="str">
        <f>VLOOKUP('Round 1'!$A14,INDEX(Entry!$E$2:$U$23,1,'Round 1'!$A$1*2-1):'Entry'!$U$33,19-$A$1*2,0)</f>
        <v>Paul Cunnington</v>
      </c>
      <c r="D14" s="6" t="s">
        <v>106</v>
      </c>
      <c r="E14" s="6">
        <v>89</v>
      </c>
      <c r="F14" s="6">
        <v>91</v>
      </c>
      <c r="G14" s="6">
        <v>89</v>
      </c>
      <c r="H14">
        <f t="shared" si="6"/>
        <v>89.67</v>
      </c>
      <c r="I14" s="6">
        <v>89</v>
      </c>
      <c r="J14" s="6">
        <v>85</v>
      </c>
      <c r="K14" s="6">
        <v>86</v>
      </c>
      <c r="L14">
        <f t="shared" si="0"/>
        <v>86.67</v>
      </c>
      <c r="M14">
        <f t="shared" si="1"/>
        <v>89.67</v>
      </c>
      <c r="N14">
        <f t="shared" si="7"/>
        <v>86.67</v>
      </c>
      <c r="O14">
        <f t="shared" si="8"/>
        <v>89.757576</v>
      </c>
      <c r="P14">
        <f t="shared" si="9"/>
        <v>3</v>
      </c>
      <c r="R14">
        <f t="shared" si="10"/>
        <v>94</v>
      </c>
      <c r="S14" t="str">
        <f t="shared" si="11"/>
        <v>Paul Cunnington</v>
      </c>
      <c r="T14">
        <f>Table2[[#This Row],[Max]]</f>
        <v>89.67</v>
      </c>
      <c r="U14">
        <f>Table2[[#This Row],[Min]]</f>
        <v>86.67</v>
      </c>
      <c r="X14">
        <f>Table1[[#This Row],[Column1]]</f>
        <v>12</v>
      </c>
      <c r="Y14">
        <v>12</v>
      </c>
      <c r="Z14">
        <f t="shared" si="2"/>
        <v>26</v>
      </c>
      <c r="AA14" t="str">
        <f t="shared" si="3"/>
        <v>Haydn Cruickshank</v>
      </c>
      <c r="AB14">
        <f t="shared" si="4"/>
        <v>69</v>
      </c>
      <c r="AC14">
        <f t="shared" si="5"/>
        <v>32.67</v>
      </c>
      <c r="AD14">
        <f>VLOOKUP(Table1[[#This Row],['#]],Table2[['#]:[Drop]],16,0)</f>
        <v>0</v>
      </c>
      <c r="AE14">
        <f>COUNTIF($AD$3:AD14,"X")</f>
        <v>0</v>
      </c>
      <c r="AF14">
        <f>IF(Table1[[#This Row],[Drop Hide]]="X",16+Table1[[#This Row],[Count drop hide]],IF(Table1[[#This Row],[Rank]]-Table1[[#This Row],[Count drop hide]]&gt;16,Table1[[#This Row],[Rank]],Table1[[#This Row],[Rank]]-Table1[[#This Row],[Count drop hide]]))</f>
        <v>12</v>
      </c>
      <c r="AG14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4">
        <v>12</v>
      </c>
      <c r="AJ14">
        <f t="shared" si="12"/>
        <v>26</v>
      </c>
      <c r="AK14" t="str">
        <f t="shared" si="13"/>
        <v>Haydn Cruickshank</v>
      </c>
    </row>
    <row r="15" spans="1:41" x14ac:dyDescent="0.3">
      <c r="A15">
        <v>13</v>
      </c>
      <c r="B15">
        <f>VLOOKUP('Round 1'!$A15,INDEX(Entry!$E$2:$U$23,1,'Round 1'!$A$1*2-1):'Entry'!$U$33,18-$A$1*2,0)</f>
        <v>112</v>
      </c>
      <c r="C15" t="str">
        <f>VLOOKUP('Round 1'!$A15,INDEX(Entry!$E$2:$U$23,1,'Round 1'!$A$1*2-1):'Entry'!$U$33,19-$A$1*2,0)</f>
        <v>Nathan Chivers</v>
      </c>
      <c r="D15" s="6" t="s">
        <v>106</v>
      </c>
      <c r="E15" s="6">
        <v>15</v>
      </c>
      <c r="F15" s="6">
        <v>5</v>
      </c>
      <c r="G15" s="6">
        <v>40</v>
      </c>
      <c r="H15">
        <f t="shared" si="6"/>
        <v>20</v>
      </c>
      <c r="I15" s="6">
        <v>50</v>
      </c>
      <c r="J15" s="6">
        <v>50</v>
      </c>
      <c r="K15" s="6">
        <v>48</v>
      </c>
      <c r="L15">
        <f t="shared" si="0"/>
        <v>49.33</v>
      </c>
      <c r="M15">
        <f t="shared" si="1"/>
        <v>49.33</v>
      </c>
      <c r="N15">
        <f t="shared" si="7"/>
        <v>20</v>
      </c>
      <c r="O15">
        <f t="shared" si="8"/>
        <v>49.350888000000005</v>
      </c>
      <c r="P15">
        <f t="shared" si="9"/>
        <v>13</v>
      </c>
      <c r="R15">
        <f t="shared" si="10"/>
        <v>112</v>
      </c>
      <c r="S15" t="str">
        <f t="shared" si="11"/>
        <v>Nathan Chivers</v>
      </c>
      <c r="T15">
        <f>Table2[[#This Row],[Max]]</f>
        <v>49.33</v>
      </c>
      <c r="U15">
        <f>Table2[[#This Row],[Min]]</f>
        <v>20</v>
      </c>
      <c r="X15">
        <f>Table1[[#This Row],[Column1]]</f>
        <v>13</v>
      </c>
      <c r="Y15">
        <v>13</v>
      </c>
      <c r="Z15">
        <f t="shared" si="2"/>
        <v>112</v>
      </c>
      <c r="AA15" t="str">
        <f t="shared" si="3"/>
        <v>Nathan Chivers</v>
      </c>
      <c r="AB15">
        <f t="shared" si="4"/>
        <v>49.33</v>
      </c>
      <c r="AC15">
        <f t="shared" si="5"/>
        <v>20</v>
      </c>
      <c r="AD15">
        <f>VLOOKUP(Table1[[#This Row],['#]],Table2[['#]:[Drop]],16,0)</f>
        <v>0</v>
      </c>
      <c r="AE15">
        <f>COUNTIF($AD$3:AD15,"X")</f>
        <v>0</v>
      </c>
      <c r="AF15">
        <f>IF(Table1[[#This Row],[Drop Hide]]="X",16+Table1[[#This Row],[Count drop hide]],IF(Table1[[#This Row],[Rank]]-Table1[[#This Row],[Count drop hide]]&gt;16,Table1[[#This Row],[Rank]],Table1[[#This Row],[Rank]]-Table1[[#This Row],[Count drop hide]]))</f>
        <v>13</v>
      </c>
      <c r="AG15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5">
        <v>13</v>
      </c>
      <c r="AJ15">
        <f t="shared" si="12"/>
        <v>112</v>
      </c>
      <c r="AK15" t="str">
        <f t="shared" si="13"/>
        <v>Nathan Chivers</v>
      </c>
      <c r="AM15" s="1">
        <v>2</v>
      </c>
      <c r="AN15" s="1">
        <f>VLOOKUP(AM15,$AI$3:$AL$18,2,0)</f>
        <v>61</v>
      </c>
      <c r="AO15" s="1" t="str">
        <f>VLOOKUP(AM15,$AI$3:$AL$18,3,0)</f>
        <v>Martin Richards</v>
      </c>
    </row>
    <row r="16" spans="1:41" x14ac:dyDescent="0.3">
      <c r="A16">
        <v>14</v>
      </c>
      <c r="B16">
        <f>VLOOKUP('Round 1'!$A16,INDEX(Entry!$E$2:$U$23,1,'Round 1'!$A$1*2-1):'Entry'!$U$33,18-$A$1*2,0)</f>
        <v>128</v>
      </c>
      <c r="C16" t="str">
        <f>VLOOKUP('Round 1'!$A16,INDEX(Entry!$E$2:$U$23,1,'Round 1'!$A$1*2-1):'Entry'!$U$33,19-$A$1*2,0)</f>
        <v>Lwi Edwards</v>
      </c>
      <c r="D16" s="6" t="s">
        <v>106</v>
      </c>
      <c r="E16" s="6">
        <v>87</v>
      </c>
      <c r="F16" s="6">
        <v>84</v>
      </c>
      <c r="G16" s="6">
        <v>82</v>
      </c>
      <c r="H16">
        <f t="shared" si="6"/>
        <v>84.33</v>
      </c>
      <c r="I16" s="6">
        <v>87</v>
      </c>
      <c r="J16" s="6">
        <v>88</v>
      </c>
      <c r="K16" s="6">
        <v>82</v>
      </c>
      <c r="L16">
        <f t="shared" si="0"/>
        <v>85.67</v>
      </c>
      <c r="M16">
        <f t="shared" si="1"/>
        <v>85.67</v>
      </c>
      <c r="N16">
        <f t="shared" si="7"/>
        <v>84.33</v>
      </c>
      <c r="O16">
        <f t="shared" si="8"/>
        <v>85.755201999999997</v>
      </c>
      <c r="P16">
        <f t="shared" si="9"/>
        <v>7</v>
      </c>
      <c r="R16">
        <f t="shared" si="10"/>
        <v>128</v>
      </c>
      <c r="S16" t="str">
        <f t="shared" si="11"/>
        <v>Lwi Edwards</v>
      </c>
      <c r="T16">
        <f>Table2[[#This Row],[Max]]</f>
        <v>85.67</v>
      </c>
      <c r="U16">
        <f>Table2[[#This Row],[Min]]</f>
        <v>84.33</v>
      </c>
      <c r="X16">
        <f>Table1[[#This Row],[Column1]]</f>
        <v>14</v>
      </c>
      <c r="Y16">
        <v>14</v>
      </c>
      <c r="Z16">
        <f t="shared" si="2"/>
        <v>39</v>
      </c>
      <c r="AA16" t="str">
        <f t="shared" si="3"/>
        <v>Paul Beechey</v>
      </c>
      <c r="AB16">
        <f t="shared" si="4"/>
        <v>38.33</v>
      </c>
      <c r="AC16">
        <f t="shared" si="5"/>
        <v>31.67</v>
      </c>
      <c r="AD16">
        <f>VLOOKUP(Table1[[#This Row],['#]],Table2[['#]:[Drop]],16,0)</f>
        <v>0</v>
      </c>
      <c r="AE16">
        <f>COUNTIF($AD$3:AD16,"X")</f>
        <v>0</v>
      </c>
      <c r="AF16">
        <f>IF(Table1[[#This Row],[Drop Hide]]="X",16+Table1[[#This Row],[Count drop hide]],IF(Table1[[#This Row],[Rank]]-Table1[[#This Row],[Count drop hide]]&gt;16,Table1[[#This Row],[Rank]],Table1[[#This Row],[Rank]]-Table1[[#This Row],[Count drop hide]]))</f>
        <v>14</v>
      </c>
      <c r="AG16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5</v>
      </c>
      <c r="AI16">
        <v>14</v>
      </c>
      <c r="AJ16">
        <f t="shared" si="12"/>
        <v>39</v>
      </c>
      <c r="AK16" t="str">
        <f t="shared" si="13"/>
        <v>Paul Beechey</v>
      </c>
      <c r="AM16" s="1">
        <v>15</v>
      </c>
      <c r="AN16" s="1">
        <f>VLOOKUP(AM16,$AI$3:$AL$18,2,0)</f>
        <v>18</v>
      </c>
      <c r="AO16" s="1" t="str">
        <f>VLOOKUP(AM16,$AI$3:$AL$18,3,0)</f>
        <v>Matthew Denham</v>
      </c>
    </row>
    <row r="17" spans="1:41" x14ac:dyDescent="0.3">
      <c r="A17">
        <v>15</v>
      </c>
      <c r="B17">
        <f>VLOOKUP('Round 1'!$A17,INDEX(Entry!$E$2:$U$23,1,'Round 1'!$A$1*2-1):'Entry'!$U$33,18-$A$1*2,0)</f>
        <v>147</v>
      </c>
      <c r="C17" t="str">
        <f>VLOOKUP('Round 1'!$A17,INDEX(Entry!$E$2:$U$23,1,'Round 1'!$A$1*2-1):'Entry'!$U$33,19-$A$1*2,0)</f>
        <v>Richie Gilbey</v>
      </c>
      <c r="D17" s="6" t="s">
        <v>106</v>
      </c>
      <c r="E17" s="6">
        <v>82</v>
      </c>
      <c r="F17" s="6">
        <v>82</v>
      </c>
      <c r="G17" s="6">
        <v>86</v>
      </c>
      <c r="H17">
        <f t="shared" si="6"/>
        <v>83.33</v>
      </c>
      <c r="I17" s="6">
        <v>84</v>
      </c>
      <c r="J17" s="6">
        <v>87</v>
      </c>
      <c r="K17" s="6">
        <v>87</v>
      </c>
      <c r="L17">
        <f t="shared" si="0"/>
        <v>86</v>
      </c>
      <c r="M17">
        <f t="shared" si="1"/>
        <v>86</v>
      </c>
      <c r="N17">
        <f t="shared" si="7"/>
        <v>83.33</v>
      </c>
      <c r="O17">
        <f t="shared" si="8"/>
        <v>86.08418300000001</v>
      </c>
      <c r="P17">
        <f t="shared" si="9"/>
        <v>6</v>
      </c>
      <c r="R17">
        <f t="shared" si="10"/>
        <v>147</v>
      </c>
      <c r="S17" t="str">
        <f t="shared" si="11"/>
        <v>Richie Gilbey</v>
      </c>
      <c r="T17">
        <f>Table2[[#This Row],[Max]]</f>
        <v>86</v>
      </c>
      <c r="U17">
        <f>Table2[[#This Row],[Min]]</f>
        <v>83.33</v>
      </c>
      <c r="X17">
        <f>Table1[[#This Row],[Column1]]</f>
        <v>15</v>
      </c>
      <c r="Y17">
        <v>15</v>
      </c>
      <c r="Z17">
        <f t="shared" si="2"/>
        <v>18</v>
      </c>
      <c r="AA17" t="str">
        <f t="shared" si="3"/>
        <v>Matthew Denham</v>
      </c>
      <c r="AB17">
        <f t="shared" si="4"/>
        <v>0</v>
      </c>
      <c r="AC17">
        <f t="shared" si="5"/>
        <v>0</v>
      </c>
      <c r="AD17">
        <f>VLOOKUP(Table1[[#This Row],['#]],Table2[['#]:[Drop]],16,0)</f>
        <v>0</v>
      </c>
      <c r="AE17">
        <f>COUNTIF($AD$3:AD17,"X")</f>
        <v>0</v>
      </c>
      <c r="AF17">
        <f>IF(Table1[[#This Row],[Drop Hide]]="X",16+Table1[[#This Row],[Count drop hide]],IF(Table1[[#This Row],[Rank]]-Table1[[#This Row],[Count drop hide]]&gt;16,Table1[[#This Row],[Rank]],Table1[[#This Row],[Rank]]-Table1[[#This Row],[Count drop hide]]))</f>
        <v>15</v>
      </c>
      <c r="AG17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0</v>
      </c>
      <c r="AI17">
        <v>15</v>
      </c>
      <c r="AJ17">
        <f t="shared" si="12"/>
        <v>18</v>
      </c>
      <c r="AK17" t="str">
        <f t="shared" si="13"/>
        <v>Matthew Denham</v>
      </c>
    </row>
    <row r="18" spans="1:41" x14ac:dyDescent="0.3">
      <c r="A18">
        <v>16</v>
      </c>
      <c r="B18">
        <f>VLOOKUP('Round 1'!$A18,INDEX(Entry!$E$2:$U$23,1,'Round 1'!$A$1*2-1):'Entry'!$U$33,18-$A$1*2,0)</f>
        <v>157</v>
      </c>
      <c r="C18" t="str">
        <f>VLOOKUP('Round 1'!$A18,INDEX(Entry!$E$2:$U$23,1,'Round 1'!$A$1*2-1):'Entry'!$U$33,19-$A$1*2,0)</f>
        <v>George Barclay</v>
      </c>
      <c r="H18">
        <f t="shared" si="6"/>
        <v>0</v>
      </c>
      <c r="L18">
        <f t="shared" si="0"/>
        <v>0</v>
      </c>
      <c r="M18">
        <f t="shared" si="1"/>
        <v>0</v>
      </c>
      <c r="N18">
        <f t="shared" si="7"/>
        <v>0</v>
      </c>
      <c r="O18">
        <f t="shared" si="8"/>
        <v>8.43E-4</v>
      </c>
      <c r="P18">
        <f t="shared" si="9"/>
        <v>18</v>
      </c>
      <c r="R18">
        <f t="shared" si="10"/>
        <v>157</v>
      </c>
      <c r="S18" t="str">
        <f t="shared" si="11"/>
        <v>George Barclay</v>
      </c>
      <c r="T18">
        <f>Table2[[#This Row],[Max]]</f>
        <v>0</v>
      </c>
      <c r="U18">
        <f>Table2[[#This Row],[Min]]</f>
        <v>0</v>
      </c>
      <c r="X18">
        <f>Table1[[#This Row],[Column1]]</f>
        <v>16</v>
      </c>
      <c r="Y18">
        <v>16</v>
      </c>
      <c r="Z18">
        <f t="shared" si="2"/>
        <v>22</v>
      </c>
      <c r="AA18" t="str">
        <f t="shared" si="3"/>
        <v>Joel Conlan</v>
      </c>
      <c r="AB18">
        <f t="shared" si="4"/>
        <v>0</v>
      </c>
      <c r="AC18">
        <f t="shared" si="5"/>
        <v>0</v>
      </c>
      <c r="AD18">
        <f>VLOOKUP(Table1[[#This Row],['#]],Table2[['#]:[Drop]],16,0)</f>
        <v>0</v>
      </c>
      <c r="AE18">
        <f>COUNTIF($AD$3:AD18,"X")</f>
        <v>0</v>
      </c>
      <c r="AF18">
        <f>IF(Table1[[#This Row],[Drop Hide]]="X",16+Table1[[#This Row],[Count drop hide]],IF(Table1[[#This Row],[Rank]]-Table1[[#This Row],[Count drop hide]]&gt;16,Table1[[#This Row],[Rank]],Table1[[#This Row],[Rank]]-Table1[[#This Row],[Count drop hide]]))</f>
        <v>16</v>
      </c>
      <c r="AG18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1</v>
      </c>
      <c r="AI18">
        <v>16</v>
      </c>
      <c r="AJ18">
        <f t="shared" si="12"/>
        <v>22</v>
      </c>
      <c r="AK18" t="str">
        <f t="shared" si="13"/>
        <v>Joel Conlan</v>
      </c>
      <c r="AM18" s="1">
        <v>7</v>
      </c>
      <c r="AN18" s="1">
        <f>VLOOKUP(AM18,$AI$3:$AL$18,2,0)</f>
        <v>128</v>
      </c>
      <c r="AO18" s="1" t="str">
        <f>VLOOKUP(AM18,$AI$3:$AL$18,3,0)</f>
        <v>Lwi Edwards</v>
      </c>
    </row>
    <row r="19" spans="1:41" x14ac:dyDescent="0.3">
      <c r="A19">
        <v>17</v>
      </c>
      <c r="B19">
        <f>VLOOKUP('Round 1'!$A19,INDEX(Entry!$E$2:$U$23,1,'Round 1'!$A$1*2-1):'Entry'!$U$33,18-$A$1*2,0)</f>
        <v>265</v>
      </c>
      <c r="C19" t="str">
        <f>VLOOKUP('Round 1'!$A19,INDEX(Entry!$E$2:$U$23,1,'Round 1'!$A$1*2-1):'Entry'!$U$33,19-$A$1*2,0)</f>
        <v>Axel Hildebrand</v>
      </c>
      <c r="D19" s="6" t="s">
        <v>106</v>
      </c>
      <c r="H19">
        <f t="shared" si="6"/>
        <v>0</v>
      </c>
      <c r="L19">
        <f t="shared" si="0"/>
        <v>0</v>
      </c>
      <c r="M19">
        <f t="shared" si="1"/>
        <v>0</v>
      </c>
      <c r="N19">
        <f t="shared" si="7"/>
        <v>0</v>
      </c>
      <c r="O19">
        <f t="shared" si="8"/>
        <v>7.3499999999999998E-4</v>
      </c>
      <c r="P19">
        <f t="shared" si="9"/>
        <v>19</v>
      </c>
      <c r="R19">
        <f t="shared" si="10"/>
        <v>265</v>
      </c>
      <c r="S19" t="str">
        <f t="shared" si="11"/>
        <v>Axel Hildebrand</v>
      </c>
      <c r="T19">
        <f>Table2[[#This Row],[Max]]</f>
        <v>0</v>
      </c>
      <c r="U19">
        <f>Table2[[#This Row],[Min]]</f>
        <v>0</v>
      </c>
      <c r="X19">
        <f>Table1[[#This Row],[Column1]]</f>
        <v>17</v>
      </c>
      <c r="Y19">
        <v>17</v>
      </c>
      <c r="Z19">
        <f t="shared" si="2"/>
        <v>56</v>
      </c>
      <c r="AA19" t="str">
        <f t="shared" si="3"/>
        <v>Jonathan Smith</v>
      </c>
      <c r="AB19">
        <f t="shared" si="4"/>
        <v>0</v>
      </c>
      <c r="AC19">
        <f t="shared" si="5"/>
        <v>0</v>
      </c>
      <c r="AD19">
        <f>VLOOKUP(Table1[[#This Row],['#]],Table2[['#]:[Drop]],16,0)</f>
        <v>0</v>
      </c>
      <c r="AE19">
        <f>COUNTIF($AD$3:AD19,"X")</f>
        <v>0</v>
      </c>
      <c r="AF19">
        <f>IF(Table1[[#This Row],[Drop Hide]]="X",16+Table1[[#This Row],[Count drop hide]],IF(Table1[[#This Row],[Rank]]-Table1[[#This Row],[Count drop hide]]&gt;16,Table1[[#This Row],[Rank]],Table1[[#This Row],[Rank]]-Table1[[#This Row],[Count drop hide]]))</f>
        <v>17</v>
      </c>
      <c r="AG19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0</v>
      </c>
      <c r="AM19" s="1">
        <v>10</v>
      </c>
      <c r="AN19" s="1">
        <f>VLOOKUP(AM19,$AI$3:$AL$18,2,0)</f>
        <v>66</v>
      </c>
      <c r="AO19" s="1" t="str">
        <f>VLOOKUP(AM19,$AI$3:$AL$18,3,0)</f>
        <v>Andy Frost</v>
      </c>
    </row>
    <row r="20" spans="1:41" x14ac:dyDescent="0.3">
      <c r="A20">
        <v>18</v>
      </c>
      <c r="B20">
        <f>VLOOKUP('Round 1'!$A20,INDEX(Entry!$E$2:$U$23,1,'Round 1'!$A$1*2-1):'Entry'!$U$33,18-$A$1*2,0)</f>
        <v>366</v>
      </c>
      <c r="C20" t="str">
        <f>VLOOKUP('Round 1'!$A20,INDEX(Entry!$E$2:$U$23,1,'Round 1'!$A$1*2-1):'Entry'!$U$33,19-$A$1*2,0)</f>
        <v>Micheal Bennett</v>
      </c>
      <c r="D20" s="6" t="s">
        <v>106</v>
      </c>
      <c r="E20" s="6">
        <v>81</v>
      </c>
      <c r="F20" s="6">
        <v>84</v>
      </c>
      <c r="G20" s="6">
        <v>80</v>
      </c>
      <c r="H20">
        <f t="shared" si="6"/>
        <v>81.67</v>
      </c>
      <c r="I20" s="6">
        <v>82</v>
      </c>
      <c r="J20" s="6">
        <v>75</v>
      </c>
      <c r="K20" s="6">
        <v>70</v>
      </c>
      <c r="L20">
        <f t="shared" si="0"/>
        <v>75.67</v>
      </c>
      <c r="M20">
        <f t="shared" si="1"/>
        <v>81.67</v>
      </c>
      <c r="N20">
        <f t="shared" si="7"/>
        <v>75.67</v>
      </c>
      <c r="O20">
        <f t="shared" si="8"/>
        <v>81.746304000000009</v>
      </c>
      <c r="P20">
        <f t="shared" si="9"/>
        <v>8</v>
      </c>
      <c r="R20">
        <f t="shared" si="10"/>
        <v>366</v>
      </c>
      <c r="S20" t="str">
        <f t="shared" si="11"/>
        <v>Micheal Bennett</v>
      </c>
      <c r="T20">
        <f>Table2[[#This Row],[Max]]</f>
        <v>81.67</v>
      </c>
      <c r="U20">
        <f>Table2[[#This Row],[Min]]</f>
        <v>75.67</v>
      </c>
      <c r="X20">
        <f>Table1[[#This Row],[Column1]]</f>
        <v>18</v>
      </c>
      <c r="Y20">
        <v>18</v>
      </c>
      <c r="Z20">
        <f t="shared" si="2"/>
        <v>157</v>
      </c>
      <c r="AA20" t="str">
        <f t="shared" si="3"/>
        <v>George Barclay</v>
      </c>
      <c r="AB20">
        <f t="shared" si="4"/>
        <v>0</v>
      </c>
      <c r="AC20">
        <f t="shared" si="5"/>
        <v>0</v>
      </c>
      <c r="AD20">
        <f>VLOOKUP(Table1[[#This Row],['#]],Table2[['#]:[Drop]],16,0)</f>
        <v>0</v>
      </c>
      <c r="AE20">
        <f>COUNTIF($AD$3:AD20,"X")</f>
        <v>0</v>
      </c>
      <c r="AF20">
        <f>IF(Table1[[#This Row],[Drop Hide]]="X",16+Table1[[#This Row],[Count drop hide]],IF(Table1[[#This Row],[Rank]]-Table1[[#This Row],[Count drop hide]]&gt;16,Table1[[#This Row],[Rank]],Table1[[#This Row],[Rank]]-Table1[[#This Row],[Count drop hide]]))</f>
        <v>18</v>
      </c>
      <c r="AG20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0</v>
      </c>
    </row>
    <row r="21" spans="1:41" x14ac:dyDescent="0.3">
      <c r="A21">
        <v>19</v>
      </c>
      <c r="B21">
        <f>VLOOKUP('Round 1'!$A21,INDEX(Entry!$E$2:$U$23,1,'Round 1'!$A$1*2-1):'Entry'!$U$33,18-$A$1*2,0)</f>
        <v>420</v>
      </c>
      <c r="C21" t="str">
        <f>VLOOKUP('Round 1'!$A21,INDEX(Entry!$E$2:$U$23,1,'Round 1'!$A$1*2-1):'Entry'!$U$33,19-$A$1*2,0)</f>
        <v>Harry Love</v>
      </c>
      <c r="D21" s="6" t="s">
        <v>106</v>
      </c>
      <c r="E21" s="6">
        <v>70</v>
      </c>
      <c r="F21" s="6">
        <v>66</v>
      </c>
      <c r="G21" s="6">
        <v>60</v>
      </c>
      <c r="H21">
        <f t="shared" si="6"/>
        <v>65.33</v>
      </c>
      <c r="I21" s="6">
        <v>83</v>
      </c>
      <c r="J21" s="6">
        <v>70</v>
      </c>
      <c r="K21" s="6">
        <v>72</v>
      </c>
      <c r="L21">
        <f t="shared" si="0"/>
        <v>75</v>
      </c>
      <c r="M21">
        <f t="shared" si="1"/>
        <v>75</v>
      </c>
      <c r="N21">
        <f t="shared" si="7"/>
        <v>65.33</v>
      </c>
      <c r="O21">
        <f t="shared" si="8"/>
        <v>75.065910000000002</v>
      </c>
      <c r="P21">
        <f t="shared" si="9"/>
        <v>11</v>
      </c>
      <c r="R21">
        <f t="shared" si="10"/>
        <v>420</v>
      </c>
      <c r="S21" t="str">
        <f t="shared" si="11"/>
        <v>Harry Love</v>
      </c>
      <c r="T21">
        <f>Table2[[#This Row],[Max]]</f>
        <v>75</v>
      </c>
      <c r="U21">
        <f>Table2[[#This Row],[Min]]</f>
        <v>65.33</v>
      </c>
      <c r="X21">
        <f>Table1[[#This Row],[Column1]]</f>
        <v>19</v>
      </c>
      <c r="Y21">
        <v>19</v>
      </c>
      <c r="Z21">
        <f t="shared" si="2"/>
        <v>265</v>
      </c>
      <c r="AA21" t="str">
        <f t="shared" si="3"/>
        <v>Axel Hildebrand</v>
      </c>
      <c r="AB21">
        <f t="shared" si="4"/>
        <v>0</v>
      </c>
      <c r="AC21">
        <f t="shared" si="5"/>
        <v>0</v>
      </c>
      <c r="AD21">
        <f>VLOOKUP(Table1[[#This Row],['#]],Table2[['#]:[Drop]],16,0)</f>
        <v>0</v>
      </c>
      <c r="AE21">
        <f>COUNTIF($AD$3:AD21,"X")</f>
        <v>0</v>
      </c>
      <c r="AF21">
        <f>IF(Table1[[#This Row],[Drop Hide]]="X",16+Table1[[#This Row],[Count drop hide]],IF(Table1[[#This Row],[Rank]]-Table1[[#This Row],[Count drop hide]]&gt;16,Table1[[#This Row],[Rank]],Table1[[#This Row],[Rank]]-Table1[[#This Row],[Count drop hide]]))</f>
        <v>19</v>
      </c>
      <c r="AG21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1</v>
      </c>
      <c r="AM21" s="1">
        <v>3</v>
      </c>
      <c r="AN21" s="1">
        <f>VLOOKUP(AM21,$AI$3:$AL$18,2,0)</f>
        <v>94</v>
      </c>
      <c r="AO21" s="1" t="str">
        <f>VLOOKUP(AM21,$AI$3:$AL$18,3,0)</f>
        <v>Paul Cunnington</v>
      </c>
    </row>
    <row r="22" spans="1:41" x14ac:dyDescent="0.3">
      <c r="A22">
        <v>20</v>
      </c>
      <c r="B22">
        <f>VLOOKUP('Round 1'!$A22,INDEX(Entry!$E$2:$U$23,1,'Round 1'!$A$1*2-1):'Entry'!$U$33,18-$A$1*2,0)</f>
        <v>666</v>
      </c>
      <c r="C22" t="str">
        <f>VLOOKUP('Round 1'!$A22,INDEX(Entry!$E$2:$U$23,1,'Round 1'!$A$1*2-1):'Entry'!$U$33,19-$A$1*2,0)</f>
        <v>Ryan Toporowski</v>
      </c>
      <c r="D22" s="6" t="s">
        <v>106</v>
      </c>
      <c r="H22">
        <f t="shared" si="6"/>
        <v>0</v>
      </c>
      <c r="L22">
        <f t="shared" si="0"/>
        <v>0</v>
      </c>
      <c r="M22">
        <f t="shared" si="1"/>
        <v>0</v>
      </c>
      <c r="N22">
        <f t="shared" si="7"/>
        <v>0</v>
      </c>
      <c r="O22">
        <f t="shared" si="8"/>
        <v>3.3399999999999999E-4</v>
      </c>
      <c r="P22">
        <f t="shared" si="9"/>
        <v>20</v>
      </c>
      <c r="R22">
        <f t="shared" si="10"/>
        <v>666</v>
      </c>
      <c r="S22" t="str">
        <f t="shared" si="11"/>
        <v>Ryan Toporowski</v>
      </c>
      <c r="T22">
        <f>Table2[[#This Row],[Max]]</f>
        <v>0</v>
      </c>
      <c r="U22">
        <f>Table2[[#This Row],[Min]]</f>
        <v>0</v>
      </c>
      <c r="X22">
        <f>Table1[[#This Row],[Column1]]</f>
        <v>20</v>
      </c>
      <c r="Y22">
        <v>20</v>
      </c>
      <c r="Z22">
        <f t="shared" si="2"/>
        <v>666</v>
      </c>
      <c r="AA22" t="str">
        <f t="shared" si="3"/>
        <v>Ryan Toporowski</v>
      </c>
      <c r="AB22">
        <f t="shared" si="4"/>
        <v>0</v>
      </c>
      <c r="AC22">
        <f t="shared" si="5"/>
        <v>0</v>
      </c>
      <c r="AD22">
        <f>VLOOKUP(Table1[[#This Row],['#]],Table2[['#]:[Drop]],16,0)</f>
        <v>0</v>
      </c>
      <c r="AE22">
        <f>COUNTIF($AD$3:AD22,"X")</f>
        <v>0</v>
      </c>
      <c r="AF22">
        <f>IF(Table1[[#This Row],[Drop Hide]]="X",16+Table1[[#This Row],[Count drop hide]],IF(Table1[[#This Row],[Rank]]-Table1[[#This Row],[Count drop hide]]&gt;16,Table1[[#This Row],[Rank]],Table1[[#This Row],[Rank]]-Table1[[#This Row],[Count drop hide]]))</f>
        <v>20</v>
      </c>
      <c r="AG22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1</v>
      </c>
      <c r="AM22" s="1">
        <v>14</v>
      </c>
      <c r="AN22" s="1">
        <f>VLOOKUP(AM22,$AI$3:$AL$18,2,0)</f>
        <v>39</v>
      </c>
      <c r="AO22" s="1" t="str">
        <f>VLOOKUP(AM22,$AI$3:$AL$18,3,0)</f>
        <v>Paul Beechey</v>
      </c>
    </row>
    <row r="23" spans="1:41" x14ac:dyDescent="0.3">
      <c r="A23">
        <v>21</v>
      </c>
      <c r="B23" t="e">
        <f>VLOOKUP('Round 1'!$A23,INDEX(Entry!$E$2:$U$23,1,'Round 1'!$A$1*2-1):'Entry'!$U$33,18-$A$1*2,0)</f>
        <v>#N/A</v>
      </c>
      <c r="C23" t="e">
        <f>VLOOKUP('Round 1'!$A23,INDEX(Entry!$E$2:$U$23,1,'Round 1'!$A$1*2-1):'Entry'!$U$33,19-$A$1*2,0)</f>
        <v>#N/A</v>
      </c>
      <c r="H23">
        <f t="shared" si="6"/>
        <v>0</v>
      </c>
      <c r="L23">
        <f t="shared" si="0"/>
        <v>0</v>
      </c>
      <c r="M23">
        <f t="shared" si="1"/>
        <v>0</v>
      </c>
      <c r="N23">
        <f t="shared" si="7"/>
        <v>0</v>
      </c>
      <c r="O23">
        <f t="shared" si="8"/>
        <v>0</v>
      </c>
      <c r="P23">
        <f t="shared" si="9"/>
        <v>21</v>
      </c>
      <c r="R23" t="e">
        <f t="shared" si="10"/>
        <v>#N/A</v>
      </c>
      <c r="S23" t="e">
        <f t="shared" si="11"/>
        <v>#N/A</v>
      </c>
      <c r="T23">
        <f>Table2[[#This Row],[Max]]</f>
        <v>0</v>
      </c>
      <c r="U23">
        <f>Table2[[#This Row],[Min]]</f>
        <v>0</v>
      </c>
      <c r="X23" t="e">
        <f>Table1[[#This Row],[Column1]]</f>
        <v>#N/A</v>
      </c>
      <c r="Y23">
        <v>21</v>
      </c>
      <c r="Z23" t="e">
        <f t="shared" si="2"/>
        <v>#N/A</v>
      </c>
      <c r="AA23" t="e">
        <f t="shared" ref="AA23:AA27" si="14">VLOOKUP(Y23,$P$3:$U$27,4,0)</f>
        <v>#N/A</v>
      </c>
      <c r="AB23">
        <f t="shared" ref="AB23:AB27" si="15">VLOOKUP(Y23,$P$3:$U$27,5,0)</f>
        <v>0</v>
      </c>
      <c r="AC23">
        <f t="shared" ref="AC23:AC27" si="16">VLOOKUP(Y23,$P$3:$U$27,6,0)</f>
        <v>0</v>
      </c>
      <c r="AD23" t="e">
        <f>VLOOKUP(Table1[[#This Row],['#]],Table2[['#]:[Drop]],16,0)</f>
        <v>#N/A</v>
      </c>
      <c r="AE23">
        <f>COUNTIF($AD$3:AD23,"X")</f>
        <v>0</v>
      </c>
      <c r="AF23" t="e">
        <f>IF(Table1[[#This Row],[Drop Hide]]="X",16+Table1[[#This Row],[Count drop hide]],IF(Table1[[#This Row],[Rank]]-Table1[[#This Row],[Count drop hide]]&gt;16,Table1[[#This Row],[Rank]],Table1[[#This Row],[Rank]]-Table1[[#This Row],[Count drop hide]]))</f>
        <v>#N/A</v>
      </c>
      <c r="AG23" t="e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#N/A</v>
      </c>
    </row>
    <row r="24" spans="1:41" x14ac:dyDescent="0.3">
      <c r="A24">
        <v>22</v>
      </c>
      <c r="B24" t="e">
        <f>VLOOKUP('Round 1'!$A24,INDEX(Entry!$E$2:$U$23,1,'Round 1'!$A$1*2-1):'Entry'!$U$33,18-$A$1*2,0)</f>
        <v>#N/A</v>
      </c>
      <c r="C24" t="e">
        <f>VLOOKUP('Round 1'!$A24,INDEX(Entry!$E$2:$U$23,1,'Round 1'!$A$1*2-1):'Entry'!$U$33,19-$A$1*2,0)</f>
        <v>#N/A</v>
      </c>
      <c r="H24">
        <f t="shared" si="6"/>
        <v>0</v>
      </c>
      <c r="L24">
        <f t="shared" si="0"/>
        <v>0</v>
      </c>
      <c r="M24">
        <f t="shared" si="1"/>
        <v>0</v>
      </c>
      <c r="N24">
        <f t="shared" si="7"/>
        <v>0</v>
      </c>
      <c r="O24">
        <f t="shared" si="8"/>
        <v>0</v>
      </c>
      <c r="P24">
        <f t="shared" si="9"/>
        <v>21</v>
      </c>
      <c r="R24" t="e">
        <f t="shared" si="10"/>
        <v>#N/A</v>
      </c>
      <c r="S24" t="e">
        <f t="shared" si="11"/>
        <v>#N/A</v>
      </c>
      <c r="T24">
        <f>Table2[[#This Row],[Max]]</f>
        <v>0</v>
      </c>
      <c r="U24">
        <f>Table2[[#This Row],[Min]]</f>
        <v>0</v>
      </c>
      <c r="X24" t="e">
        <f>Table1[[#This Row],[Column1]]</f>
        <v>#N/A</v>
      </c>
      <c r="Y24">
        <v>22</v>
      </c>
      <c r="Z24" t="e">
        <f t="shared" si="2"/>
        <v>#N/A</v>
      </c>
      <c r="AA24" t="e">
        <f t="shared" si="14"/>
        <v>#N/A</v>
      </c>
      <c r="AB24" t="e">
        <f t="shared" si="15"/>
        <v>#N/A</v>
      </c>
      <c r="AC24" t="e">
        <f t="shared" si="16"/>
        <v>#N/A</v>
      </c>
      <c r="AD24" t="e">
        <f>VLOOKUP(Table1[[#This Row],['#]],Table2[['#]:[Drop]],16,0)</f>
        <v>#N/A</v>
      </c>
      <c r="AE24">
        <f>COUNTIF($AD$3:AD24,"X")</f>
        <v>0</v>
      </c>
      <c r="AF24" t="e">
        <f>IF(Table1[[#This Row],[Drop Hide]]="X",16+Table1[[#This Row],[Count drop hide]],IF(Table1[[#This Row],[Rank]]-Table1[[#This Row],[Count drop hide]]&gt;16,Table1[[#This Row],[Rank]],Table1[[#This Row],[Rank]]-Table1[[#This Row],[Count drop hide]]))</f>
        <v>#N/A</v>
      </c>
      <c r="AG24" t="e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#N/A</v>
      </c>
      <c r="AM24" s="1">
        <v>6</v>
      </c>
      <c r="AN24" s="1">
        <f>VLOOKUP(AM24,$AI$3:$AL$18,2,0)</f>
        <v>147</v>
      </c>
      <c r="AO24" s="1" t="str">
        <f>VLOOKUP(AM24,$AI$3:$AL$18,3,0)</f>
        <v>Richie Gilbey</v>
      </c>
    </row>
    <row r="25" spans="1:41" x14ac:dyDescent="0.3">
      <c r="A25">
        <v>23</v>
      </c>
      <c r="B25" t="e">
        <f>VLOOKUP('Round 1'!$A25,INDEX(Entry!$E$2:$U$23,1,'Round 1'!$A$1*2-1):'Entry'!$U$33,18-$A$1*2,0)</f>
        <v>#N/A</v>
      </c>
      <c r="C25" t="e">
        <f>VLOOKUP('Round 1'!$A25,INDEX(Entry!$E$2:$U$23,1,'Round 1'!$A$1*2-1):'Entry'!$U$33,19-$A$1*2,0)</f>
        <v>#N/A</v>
      </c>
      <c r="H25">
        <f t="shared" si="6"/>
        <v>0</v>
      </c>
      <c r="L25">
        <f t="shared" si="0"/>
        <v>0</v>
      </c>
      <c r="M25">
        <f t="shared" si="1"/>
        <v>0</v>
      </c>
      <c r="N25">
        <f t="shared" si="7"/>
        <v>0</v>
      </c>
      <c r="O25">
        <f t="shared" si="8"/>
        <v>0</v>
      </c>
      <c r="P25">
        <f t="shared" si="9"/>
        <v>21</v>
      </c>
      <c r="R25" t="e">
        <f t="shared" si="10"/>
        <v>#N/A</v>
      </c>
      <c r="S25" t="e">
        <f t="shared" si="11"/>
        <v>#N/A</v>
      </c>
      <c r="T25">
        <f>Table2[[#This Row],[Max]]</f>
        <v>0</v>
      </c>
      <c r="U25">
        <f>Table2[[#This Row],[Min]]</f>
        <v>0</v>
      </c>
      <c r="X25" t="e">
        <f>Table1[[#This Row],[Column1]]</f>
        <v>#N/A</v>
      </c>
      <c r="Y25">
        <v>23</v>
      </c>
      <c r="Z25" t="e">
        <f t="shared" si="2"/>
        <v>#N/A</v>
      </c>
      <c r="AA25" t="e">
        <f t="shared" si="14"/>
        <v>#N/A</v>
      </c>
      <c r="AB25" t="e">
        <f t="shared" si="15"/>
        <v>#N/A</v>
      </c>
      <c r="AC25" t="e">
        <f t="shared" si="16"/>
        <v>#N/A</v>
      </c>
      <c r="AD25" t="e">
        <f>VLOOKUP(Table1[[#This Row],['#]],Table2[['#]:[Drop]],16,0)</f>
        <v>#N/A</v>
      </c>
      <c r="AE25">
        <f>COUNTIF($AD$3:AD25,"X")</f>
        <v>0</v>
      </c>
      <c r="AF25" t="e">
        <f>IF(Table1[[#This Row],[Drop Hide]]="X",16+Table1[[#This Row],[Count drop hide]],IF(Table1[[#This Row],[Rank]]-Table1[[#This Row],[Count drop hide]]&gt;16,Table1[[#This Row],[Rank]],Table1[[#This Row],[Rank]]-Table1[[#This Row],[Count drop hide]]))</f>
        <v>#N/A</v>
      </c>
      <c r="AG25" t="e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#N/A</v>
      </c>
      <c r="AM25" s="1">
        <v>11</v>
      </c>
      <c r="AN25" s="1">
        <f>VLOOKUP(AM25,$AI$3:$AL$18,2,0)</f>
        <v>420</v>
      </c>
      <c r="AO25" s="1" t="str">
        <f>VLOOKUP(AM25,$AI$3:$AL$18,3,0)</f>
        <v>Harry Love</v>
      </c>
    </row>
    <row r="26" spans="1:41" x14ac:dyDescent="0.3">
      <c r="A26">
        <v>24</v>
      </c>
      <c r="B26" t="e">
        <f>VLOOKUP('Round 1'!$A26,INDEX(Entry!$E$2:$U$23,1,'Round 1'!$A$1*2-1):'Entry'!$U$33,18-$A$1*2,0)</f>
        <v>#N/A</v>
      </c>
      <c r="C26" t="e">
        <f>VLOOKUP('Round 1'!$A26,INDEX(Entry!$E$2:$U$23,1,'Round 1'!$A$1*2-1):'Entry'!$U$33,19-$A$1*2,0)</f>
        <v>#N/A</v>
      </c>
      <c r="H26">
        <f t="shared" si="6"/>
        <v>0</v>
      </c>
      <c r="L26">
        <f t="shared" si="0"/>
        <v>0</v>
      </c>
      <c r="M26">
        <f t="shared" si="1"/>
        <v>0</v>
      </c>
      <c r="N26">
        <f t="shared" si="7"/>
        <v>0</v>
      </c>
      <c r="O26">
        <f t="shared" si="8"/>
        <v>0</v>
      </c>
      <c r="P26">
        <f t="shared" si="9"/>
        <v>21</v>
      </c>
      <c r="R26" t="e">
        <f t="shared" si="10"/>
        <v>#N/A</v>
      </c>
      <c r="S26" t="e">
        <f t="shared" si="11"/>
        <v>#N/A</v>
      </c>
      <c r="T26">
        <f>Table2[[#This Row],[Max]]</f>
        <v>0</v>
      </c>
      <c r="U26">
        <f>Table2[[#This Row],[Min]]</f>
        <v>0</v>
      </c>
      <c r="X26" t="e">
        <f>Table1[[#This Row],[Column1]]</f>
        <v>#N/A</v>
      </c>
      <c r="Y26">
        <v>24</v>
      </c>
      <c r="Z26" t="e">
        <f t="shared" si="2"/>
        <v>#N/A</v>
      </c>
      <c r="AA26" t="e">
        <f t="shared" si="14"/>
        <v>#N/A</v>
      </c>
      <c r="AB26" t="e">
        <f t="shared" si="15"/>
        <v>#N/A</v>
      </c>
      <c r="AC26" t="e">
        <f t="shared" si="16"/>
        <v>#N/A</v>
      </c>
      <c r="AD26" t="e">
        <f>VLOOKUP(Table1[[#This Row],['#]],Table2[['#]:[Drop]],16,0)</f>
        <v>#N/A</v>
      </c>
      <c r="AE26">
        <f>COUNTIF($AD$3:AD26,"X")</f>
        <v>0</v>
      </c>
      <c r="AF26" t="e">
        <f>IF(Table1[[#This Row],[Drop Hide]]="X",16+Table1[[#This Row],[Count drop hide]],IF(Table1[[#This Row],[Rank]]-Table1[[#This Row],[Count drop hide]]&gt;16,Table1[[#This Row],[Rank]],Table1[[#This Row],[Rank]]-Table1[[#This Row],[Count drop hide]]))</f>
        <v>#N/A</v>
      </c>
      <c r="AG26" t="e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#N/A</v>
      </c>
    </row>
    <row r="27" spans="1:41" x14ac:dyDescent="0.3">
      <c r="A27">
        <v>25</v>
      </c>
      <c r="B27" t="e">
        <f>VLOOKUP('Round 1'!$A27,INDEX(Entry!$E$2:$U$23,1,'Round 1'!$A$1*2-1):'Entry'!$U$33,18-$A$1*2,0)</f>
        <v>#N/A</v>
      </c>
      <c r="C27" t="e">
        <f>VLOOKUP('Round 1'!$A27,INDEX(Entry!$E$2:$U$23,1,'Round 1'!$A$1*2-1):'Entry'!$U$33,19-$A$1*2,0)</f>
        <v>#N/A</v>
      </c>
      <c r="H27">
        <f t="shared" si="6"/>
        <v>0</v>
      </c>
      <c r="L27">
        <f t="shared" si="0"/>
        <v>0</v>
      </c>
      <c r="M27">
        <f t="shared" si="1"/>
        <v>0</v>
      </c>
      <c r="N27">
        <f t="shared" si="7"/>
        <v>0</v>
      </c>
      <c r="O27">
        <f t="shared" si="8"/>
        <v>0</v>
      </c>
      <c r="P27">
        <f t="shared" si="9"/>
        <v>21</v>
      </c>
      <c r="R27" t="e">
        <f t="shared" si="10"/>
        <v>#N/A</v>
      </c>
      <c r="S27" t="e">
        <f t="shared" si="11"/>
        <v>#N/A</v>
      </c>
      <c r="T27">
        <f>Table2[[#This Row],[Max]]</f>
        <v>0</v>
      </c>
      <c r="U27">
        <f>Table2[[#This Row],[Min]]</f>
        <v>0</v>
      </c>
      <c r="X27" t="e">
        <f>Table1[[#This Row],[Column1]]</f>
        <v>#N/A</v>
      </c>
      <c r="Y27">
        <v>25</v>
      </c>
      <c r="Z27" t="e">
        <f t="shared" si="2"/>
        <v>#N/A</v>
      </c>
      <c r="AA27" t="e">
        <f t="shared" si="14"/>
        <v>#N/A</v>
      </c>
      <c r="AB27" t="e">
        <f t="shared" si="15"/>
        <v>#N/A</v>
      </c>
      <c r="AC27" t="e">
        <f t="shared" si="16"/>
        <v>#N/A</v>
      </c>
      <c r="AD27" t="e">
        <f>VLOOKUP(Table1[[#This Row],['#]],Table2[['#]:[Drop]],16,0)</f>
        <v>#N/A</v>
      </c>
      <c r="AE27">
        <f>COUNTIF($AD$3:AD27,"X")</f>
        <v>0</v>
      </c>
      <c r="AF27" t="e">
        <f>IF(Table1[[#This Row],[Drop Hide]]="X",16+Table1[[#This Row],[Count drop hide]],IF(Table1[[#This Row],[Rank]]-Table1[[#This Row],[Count drop hide]]&gt;16,Table1[[#This Row],[Rank]],Table1[[#This Row],[Rank]]-Table1[[#This Row],[Count drop hide]]))</f>
        <v>#N/A</v>
      </c>
      <c r="AG27" t="e">
        <f>IF(Table1[[#This Row],[Drop Hide]]="X",10,IF(AND(Table1[[#This Row],[Highest Score]]&gt;0,Table1[[#This Row],[Lower Score]]&gt;0),5,IF(AND(Table1[[#This Row],[Highest Score]]&gt;0,Table1[[#This Row],[Lower Score]]=0),2,IF(AND(Table1[[#This Row],[Highest Score]]=0,Table1[[#This Row],[Lower Score]]=0,VLOOKUP(Table1[[#This Row],['#]],Table2[['#]:[Scrut]],3,0)="X"),1,0))))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phoneticPr fontId="1" type="noConversion"/>
  <dataValidations count="1">
    <dataValidation type="decimal" allowBlank="1" showInputMessage="1" showErrorMessage="1" sqref="E3:G27 I3:K27" xr:uid="{7FDB7C65-FD54-481D-BA5B-5ACFF9DAAB9B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CC4C-680C-40A3-8D52-0874525A9133}">
  <dimension ref="A1:AK40"/>
  <sheetViews>
    <sheetView topLeftCell="G1" zoomScale="92" workbookViewId="0">
      <selection activeCell="AG13" sqref="AG13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>
        <f>VLOOKUP(A2,'Round 1'!$AI$3:$AK$18,2,0)</f>
        <v>55</v>
      </c>
      <c r="C2" s="1" t="str">
        <f>VLOOKUP(A2,'Round 1'!$AI$3:$AK$18,3,0)</f>
        <v>Oliver Evans</v>
      </c>
      <c r="D2" s="1">
        <f>AB3</f>
        <v>3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>
        <f>IF(AND(D2=0,D4=0),"",IF(D2&gt;D4,A2,A4))</f>
        <v>1</v>
      </c>
      <c r="G3" s="1">
        <f>IF(AND(D2=0,D4=0),"",IF(D2&gt;D4,B2,B4))</f>
        <v>55</v>
      </c>
      <c r="H3" s="1" t="str">
        <f>IF(AND(D2=0,D4=0),"",IF(D2&gt;D4,C2,C4))</f>
        <v>Oliver Evans</v>
      </c>
      <c r="I3" s="1">
        <f>AB27</f>
        <v>0</v>
      </c>
      <c r="J3" s="2"/>
      <c r="Y3" s="1">
        <f>A2</f>
        <v>1</v>
      </c>
      <c r="Z3" s="1">
        <f>B2</f>
        <v>55</v>
      </c>
      <c r="AA3" s="1" t="str">
        <f>C2</f>
        <v>Oliver Evans</v>
      </c>
      <c r="AB3" s="4">
        <v>3</v>
      </c>
      <c r="AD3" s="1">
        <f>K5</f>
        <v>9</v>
      </c>
      <c r="AE3" s="1">
        <f t="shared" ref="AE3:AF3" si="0">L5</f>
        <v>41</v>
      </c>
      <c r="AF3" s="1" t="str">
        <f t="shared" si="0"/>
        <v>Ian Phillips</v>
      </c>
      <c r="AG3" s="4">
        <v>3</v>
      </c>
    </row>
    <row r="4" spans="1:37" x14ac:dyDescent="0.3">
      <c r="A4" s="1">
        <v>16</v>
      </c>
      <c r="B4" s="1">
        <f>VLOOKUP(A4,'Round 1'!$AI$3:$AK$18,2,0)</f>
        <v>22</v>
      </c>
      <c r="C4" s="1" t="str">
        <f>VLOOKUP(A4,'Round 1'!$AI$3:$AK$18,3,0)</f>
        <v>Joel Conlan</v>
      </c>
      <c r="D4" s="1">
        <f>AB4</f>
        <v>0</v>
      </c>
      <c r="E4" s="2"/>
      <c r="J4" s="2"/>
      <c r="Y4" s="1">
        <f>A4</f>
        <v>16</v>
      </c>
      <c r="Z4" s="1">
        <f>B4</f>
        <v>22</v>
      </c>
      <c r="AA4" s="1" t="str">
        <f>C4</f>
        <v>Joel Conlan</v>
      </c>
      <c r="AB4" s="4"/>
      <c r="AD4" s="1">
        <f>K13</f>
        <v>4</v>
      </c>
      <c r="AE4" s="1">
        <f t="shared" ref="AE4:AF4" si="1">L13</f>
        <v>86</v>
      </c>
      <c r="AF4" s="1" t="str">
        <f t="shared" si="1"/>
        <v>David Bastin</v>
      </c>
      <c r="AG4" s="4"/>
    </row>
    <row r="5" spans="1:37" x14ac:dyDescent="0.3">
      <c r="J5" s="2"/>
      <c r="K5" s="1">
        <f>IF(AND(I3=0,I7=0),"",IF(I3&gt;I7,F3,F7))</f>
        <v>9</v>
      </c>
      <c r="L5" s="1">
        <f>IF(AND(I3=0,I7=0),"",IF(I3&gt;I7,G3,G7))</f>
        <v>41</v>
      </c>
      <c r="M5" s="1" t="str">
        <f>IF(AND(I3=0,I7=0),"",IF(I3&gt;I7,H3,H7))</f>
        <v>Ian Phillips</v>
      </c>
      <c r="N5" s="1">
        <f>AG3</f>
        <v>3</v>
      </c>
      <c r="O5" s="2"/>
      <c r="AD5" t="s">
        <v>88</v>
      </c>
    </row>
    <row r="6" spans="1:37" x14ac:dyDescent="0.3">
      <c r="A6" s="1">
        <v>8</v>
      </c>
      <c r="B6" s="1">
        <f>VLOOKUP(A6,'Round 1'!$AI$3:$AK$18,2,0)</f>
        <v>366</v>
      </c>
      <c r="C6" s="1" t="str">
        <f>VLOOKUP(A6,'Round 1'!$AI$3:$AK$18,3,0)</f>
        <v>Micheal Bennett</v>
      </c>
      <c r="D6" s="1">
        <f>AB6</f>
        <v>0</v>
      </c>
      <c r="E6" s="2"/>
      <c r="J6" s="2"/>
      <c r="O6" s="2"/>
      <c r="Y6" s="1">
        <f>A6</f>
        <v>8</v>
      </c>
      <c r="Z6" s="1">
        <f>B6</f>
        <v>366</v>
      </c>
      <c r="AA6" s="1" t="str">
        <f>C6</f>
        <v>Micheal Bennett</v>
      </c>
      <c r="AB6" s="4"/>
      <c r="AD6" s="1">
        <f>K21</f>
        <v>2</v>
      </c>
      <c r="AE6" s="1">
        <f t="shared" ref="AE6:AF6" si="2">L21</f>
        <v>61</v>
      </c>
      <c r="AF6" s="1" t="str">
        <f t="shared" si="2"/>
        <v>Martin Richards</v>
      </c>
      <c r="AG6" s="4">
        <v>3</v>
      </c>
      <c r="AI6">
        <f>IF(F3=K5,F7,F3)</f>
        <v>1</v>
      </c>
      <c r="AJ6">
        <f>VLOOKUP(AI6,$A$2:$C$32,2,0)</f>
        <v>55</v>
      </c>
      <c r="AK6" t="str">
        <f>VLOOKUP(AI6,$A$2:$C$32,3,0)</f>
        <v>Oliver Evans</v>
      </c>
    </row>
    <row r="7" spans="1:37" x14ac:dyDescent="0.3">
      <c r="A7" s="3"/>
      <c r="E7" s="2"/>
      <c r="F7" s="1">
        <f>IF(AND(D6=0,D8=0),"",IF(D6&gt;D8,A6,A8))</f>
        <v>9</v>
      </c>
      <c r="G7" s="1">
        <f>IF(AND(D6=0,D8=0),"",IF(D6&gt;D8,B6,B8))</f>
        <v>41</v>
      </c>
      <c r="H7" s="1" t="str">
        <f>IF(AND(D6=0,D8=0),"",IF(D6&gt;D8,C6,C8))</f>
        <v>Ian Phillips</v>
      </c>
      <c r="I7" s="1">
        <f>AB28</f>
        <v>3</v>
      </c>
      <c r="J7" s="2"/>
      <c r="O7" s="2"/>
      <c r="Y7" s="1">
        <f>A8</f>
        <v>9</v>
      </c>
      <c r="Z7" s="1">
        <f>B8</f>
        <v>41</v>
      </c>
      <c r="AA7" s="1" t="str">
        <f>C8</f>
        <v>Ian Phillips</v>
      </c>
      <c r="AB7" s="4">
        <v>3</v>
      </c>
      <c r="AD7" s="1">
        <f>K29</f>
        <v>3</v>
      </c>
      <c r="AE7" s="1">
        <f t="shared" ref="AE7:AF7" si="3">L29</f>
        <v>94</v>
      </c>
      <c r="AF7" s="1" t="str">
        <f t="shared" si="3"/>
        <v>Paul Cunnington</v>
      </c>
      <c r="AG7" s="4"/>
      <c r="AI7">
        <f>IF(F11=K13,F15,F11)</f>
        <v>12</v>
      </c>
      <c r="AJ7">
        <f t="shared" ref="AJ7:AJ18" si="4">VLOOKUP(AI7,$A$2:$C$32,2,0)</f>
        <v>26</v>
      </c>
      <c r="AK7" t="str">
        <f t="shared" ref="AK7:AK18" si="5">VLOOKUP(AI7,$A$2:$C$32,3,0)</f>
        <v>Haydn Cruickshank</v>
      </c>
    </row>
    <row r="8" spans="1:37" x14ac:dyDescent="0.3">
      <c r="A8" s="1">
        <v>9</v>
      </c>
      <c r="B8" s="1">
        <f>VLOOKUP(A8,'Round 1'!$AI$3:$AK$18,2,0)</f>
        <v>41</v>
      </c>
      <c r="C8" s="1" t="str">
        <f>VLOOKUP(A8,'Round 1'!$AI$3:$AK$18,3,0)</f>
        <v>Ian Phillips</v>
      </c>
      <c r="D8" s="1">
        <f>AB7</f>
        <v>3</v>
      </c>
      <c r="E8" s="2"/>
      <c r="O8" s="2"/>
      <c r="AD8" t="s">
        <v>91</v>
      </c>
      <c r="AI8">
        <f>IF(F19=K21,F23,F19)</f>
        <v>7</v>
      </c>
      <c r="AJ8">
        <f t="shared" si="4"/>
        <v>128</v>
      </c>
      <c r="AK8" t="str">
        <f t="shared" si="5"/>
        <v>Lwi Edwards</v>
      </c>
    </row>
    <row r="9" spans="1:37" x14ac:dyDescent="0.3">
      <c r="O9" s="2"/>
      <c r="P9" s="1">
        <f>IF(AND(N5=0,N13=0),"",IF(N5&gt;N13,K5,K13))</f>
        <v>9</v>
      </c>
      <c r="Q9" s="1">
        <f>IF(AND(N5=0,N13=0),"",IF(N5&gt;N13,L5,L13))</f>
        <v>41</v>
      </c>
      <c r="R9" s="1" t="str">
        <f>IF(AND(N5=0,N13=0),"",IF(N5&gt;N13,M5,M13))</f>
        <v>Ian Phillips</v>
      </c>
      <c r="S9" s="1">
        <f>AG12</f>
        <v>3</v>
      </c>
      <c r="T9" s="2"/>
      <c r="Y9" s="1">
        <f>A10</f>
        <v>4</v>
      </c>
      <c r="Z9" s="1">
        <f t="shared" ref="Z9:AA9" si="6">B10</f>
        <v>86</v>
      </c>
      <c r="AA9" s="1" t="str">
        <f t="shared" si="6"/>
        <v>David Bastin</v>
      </c>
      <c r="AB9" s="4">
        <v>3</v>
      </c>
      <c r="AD9" s="1">
        <f>IF(K5=P9,K13,K5)</f>
        <v>4</v>
      </c>
      <c r="AE9" s="1">
        <f>IF(AND(N5=0,N13=0),"",IF(L5=Q9,L13,L5))</f>
        <v>86</v>
      </c>
      <c r="AF9" s="1" t="str">
        <f>IF(AND(N5=0,N13=0),"",IF(M5=R9,M13,M5))</f>
        <v>David Bastin</v>
      </c>
      <c r="AG9" s="4"/>
      <c r="AI9">
        <f>IF(F27=K29,F31,F27)</f>
        <v>11</v>
      </c>
      <c r="AJ9">
        <f t="shared" si="4"/>
        <v>420</v>
      </c>
      <c r="AK9" t="str">
        <f t="shared" si="5"/>
        <v>Harry Love</v>
      </c>
    </row>
    <row r="10" spans="1:37" x14ac:dyDescent="0.3">
      <c r="A10" s="1">
        <v>4</v>
      </c>
      <c r="B10" s="1">
        <f>VLOOKUP(A10,'Round 1'!$AI$3:$AK$18,2,0)</f>
        <v>86</v>
      </c>
      <c r="C10" s="1" t="str">
        <f>VLOOKUP(A10,'Round 1'!$AI$3:$AK$18,3,0)</f>
        <v>David Bastin</v>
      </c>
      <c r="D10" s="1">
        <f>AB9</f>
        <v>3</v>
      </c>
      <c r="E10" s="2"/>
      <c r="O10" s="2"/>
      <c r="T10" s="2"/>
      <c r="Y10" s="1">
        <f>A12</f>
        <v>13</v>
      </c>
      <c r="Z10" s="1">
        <f t="shared" ref="Z10:AA10" si="7">B12</f>
        <v>112</v>
      </c>
      <c r="AA10" s="1" t="str">
        <f t="shared" si="7"/>
        <v>Nathan Chivers</v>
      </c>
      <c r="AB10" s="4"/>
      <c r="AD10" s="1">
        <f>IF(K21=P25,K29,K21)</f>
        <v>3</v>
      </c>
      <c r="AE10" s="1">
        <f>IF(AND(N21=0,N29=0),"",IF(L21=Q25,L29,L21))</f>
        <v>94</v>
      </c>
      <c r="AF10" s="1" t="str">
        <f>IF(AND(N21=0,N29=0),"",IF(M21=R25,M29,M21))</f>
        <v>Paul Cunnington</v>
      </c>
      <c r="AG10" s="4">
        <v>3</v>
      </c>
    </row>
    <row r="11" spans="1:37" x14ac:dyDescent="0.3">
      <c r="A11" s="3"/>
      <c r="E11" s="2"/>
      <c r="F11" s="1">
        <f>IF(AND(D10=0,D12=0),"",IF(D10&gt;D12,A10,A12))</f>
        <v>4</v>
      </c>
      <c r="G11" s="1">
        <f>IF(AND(D10=0,D12=0),"",IF(D10&gt;D12,B10,B12))</f>
        <v>86</v>
      </c>
      <c r="H11" s="1" t="str">
        <f>IF(AND(D10=0,D12=0),"",IF(D10&gt;D12,C10,C12))</f>
        <v>David Bastin</v>
      </c>
      <c r="I11" s="1">
        <f>AB30</f>
        <v>3</v>
      </c>
      <c r="J11" s="2"/>
      <c r="O11" s="2"/>
      <c r="T11" s="2"/>
      <c r="AD11" t="s">
        <v>89</v>
      </c>
      <c r="AI11">
        <f>IF(A2=F3,A4,A2)</f>
        <v>16</v>
      </c>
      <c r="AJ11">
        <f t="shared" si="4"/>
        <v>22</v>
      </c>
      <c r="AK11" t="str">
        <f t="shared" si="5"/>
        <v>Joel Conlan</v>
      </c>
    </row>
    <row r="12" spans="1:37" x14ac:dyDescent="0.3">
      <c r="A12" s="1">
        <v>13</v>
      </c>
      <c r="B12" s="1">
        <f>VLOOKUP(A12,'Round 1'!$AI$3:$AK$18,2,0)</f>
        <v>112</v>
      </c>
      <c r="C12" s="1" t="str">
        <f>VLOOKUP(A12,'Round 1'!$AI$3:$AK$18,3,0)</f>
        <v>Nathan Chivers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>
        <f t="shared" ref="Z12:AA12" si="8">B14</f>
        <v>93</v>
      </c>
      <c r="AA12" s="1" t="str">
        <f t="shared" si="8"/>
        <v>Josh King</v>
      </c>
      <c r="AB12" s="4">
        <v>1</v>
      </c>
      <c r="AD12" s="1">
        <f>P9</f>
        <v>9</v>
      </c>
      <c r="AE12" s="1">
        <f>Q9</f>
        <v>41</v>
      </c>
      <c r="AF12" s="1" t="str">
        <f>R9</f>
        <v>Ian Phillips</v>
      </c>
      <c r="AG12" s="4">
        <v>3</v>
      </c>
      <c r="AI12">
        <f>IF(A6=F7,A8,A6)</f>
        <v>8</v>
      </c>
      <c r="AJ12">
        <f t="shared" si="4"/>
        <v>366</v>
      </c>
      <c r="AK12" t="str">
        <f t="shared" si="5"/>
        <v>Micheal Bennett</v>
      </c>
    </row>
    <row r="13" spans="1:37" x14ac:dyDescent="0.3">
      <c r="J13" s="2"/>
      <c r="K13" s="1">
        <f>IF(AND(I11=0,I15=0),"",IF(I11&gt;I15,F11,F15))</f>
        <v>4</v>
      </c>
      <c r="L13" s="1">
        <f>IF(AND(I11=0,I15=0),"",IF(I11&gt;I15,G11,G15))</f>
        <v>86</v>
      </c>
      <c r="M13" s="1" t="str">
        <f>IF(AND(I11=0,I15=0),"",IF(I11&gt;I15,H11,H15))</f>
        <v>David Bastin</v>
      </c>
      <c r="N13" s="1">
        <f>AG4</f>
        <v>0</v>
      </c>
      <c r="O13" s="2"/>
      <c r="T13" s="2"/>
      <c r="Y13" s="1">
        <f>A16</f>
        <v>12</v>
      </c>
      <c r="Z13" s="1">
        <f t="shared" ref="Z13:AA13" si="9">B16</f>
        <v>26</v>
      </c>
      <c r="AA13" s="1" t="str">
        <f t="shared" si="9"/>
        <v>Haydn Cruickshank</v>
      </c>
      <c r="AB13" s="4">
        <v>2</v>
      </c>
      <c r="AD13" s="1">
        <f>P25</f>
        <v>2</v>
      </c>
      <c r="AE13" s="1">
        <f>Q25</f>
        <v>61</v>
      </c>
      <c r="AF13" s="1" t="str">
        <f>R25</f>
        <v>Martin Richards</v>
      </c>
      <c r="AG13" s="4"/>
      <c r="AI13">
        <f>IF(A10=F11,A12,A10)</f>
        <v>13</v>
      </c>
      <c r="AJ13">
        <f t="shared" si="4"/>
        <v>112</v>
      </c>
      <c r="AK13" t="str">
        <f t="shared" si="5"/>
        <v>Nathan Chivers</v>
      </c>
    </row>
    <row r="14" spans="1:37" x14ac:dyDescent="0.3">
      <c r="A14" s="1">
        <v>5</v>
      </c>
      <c r="B14" s="1">
        <f>VLOOKUP(A14,'Round 1'!$AI$3:$AK$18,2,0)</f>
        <v>93</v>
      </c>
      <c r="C14" s="1" t="str">
        <f>VLOOKUP(A14,'Round 1'!$AI$3:$AK$18,3,0)</f>
        <v>Josh King</v>
      </c>
      <c r="D14" s="1">
        <f>AB12</f>
        <v>1</v>
      </c>
      <c r="E14" s="2"/>
      <c r="J14" s="2"/>
      <c r="T14" s="2"/>
      <c r="AI14">
        <f>IF(A14=F15,A16,A14)</f>
        <v>5</v>
      </c>
      <c r="AJ14">
        <f t="shared" si="4"/>
        <v>93</v>
      </c>
      <c r="AK14" t="str">
        <f t="shared" si="5"/>
        <v>Josh King</v>
      </c>
    </row>
    <row r="15" spans="1:37" x14ac:dyDescent="0.3">
      <c r="A15" s="3"/>
      <c r="E15" s="2"/>
      <c r="F15" s="1">
        <f>IF(AND(D14=0,D16=0),"",IF(D14&gt;D16,A14,A16))</f>
        <v>12</v>
      </c>
      <c r="G15" s="1">
        <f>IF(AND(D14=0,D16=0),"",IF(D14&gt;D16,B14,B16))</f>
        <v>26</v>
      </c>
      <c r="H15" s="1" t="str">
        <f>IF(AND(D14=0,D16=0),"",IF(D14&gt;D16,C14,C16))</f>
        <v>Haydn Cruickshank</v>
      </c>
      <c r="I15" s="1">
        <f>AB31</f>
        <v>0</v>
      </c>
      <c r="J15" s="2"/>
      <c r="T15" s="2"/>
      <c r="Y15" s="1">
        <f>A18</f>
        <v>2</v>
      </c>
      <c r="Z15" s="1">
        <f t="shared" ref="Z15:AA15" si="10">B18</f>
        <v>61</v>
      </c>
      <c r="AA15" s="1" t="str">
        <f t="shared" si="10"/>
        <v>Martin Richards</v>
      </c>
      <c r="AB15" s="4">
        <v>3</v>
      </c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15</v>
      </c>
      <c r="AJ15">
        <f t="shared" si="4"/>
        <v>18</v>
      </c>
      <c r="AK15" t="str">
        <f t="shared" si="5"/>
        <v>Matthew Denham</v>
      </c>
    </row>
    <row r="16" spans="1:37" x14ac:dyDescent="0.3">
      <c r="A16" s="1">
        <v>12</v>
      </c>
      <c r="B16" s="1">
        <f>VLOOKUP(A16,'Round 1'!$AI$3:$AK$18,2,0)</f>
        <v>26</v>
      </c>
      <c r="C16" s="1" t="str">
        <f>VLOOKUP(A16,'Round 1'!$AI$3:$AK$18,3,0)</f>
        <v>Haydn Cruickshank</v>
      </c>
      <c r="D16" s="1">
        <f>AB13</f>
        <v>2</v>
      </c>
      <c r="E16" s="2"/>
      <c r="T16" s="2"/>
      <c r="Y16" s="1">
        <f>A20</f>
        <v>15</v>
      </c>
      <c r="Z16" s="1">
        <f t="shared" ref="Z16:AA16" si="11">B20</f>
        <v>18</v>
      </c>
      <c r="AA16" s="1" t="str">
        <f t="shared" si="11"/>
        <v>Matthew Denham</v>
      </c>
      <c r="AB16" s="4"/>
      <c r="AD16">
        <v>1</v>
      </c>
      <c r="AE16">
        <f>V17</f>
        <v>41</v>
      </c>
      <c r="AF16" t="str">
        <f>W17</f>
        <v>Ian Phillips</v>
      </c>
      <c r="AG16">
        <v>50</v>
      </c>
      <c r="AI16">
        <f>IF(A22=F23,A24,A22)</f>
        <v>10</v>
      </c>
      <c r="AJ16">
        <f t="shared" si="4"/>
        <v>66</v>
      </c>
      <c r="AK16" t="str">
        <f t="shared" si="5"/>
        <v>Andy Frost</v>
      </c>
    </row>
    <row r="17" spans="1:37" x14ac:dyDescent="0.3">
      <c r="T17" s="2"/>
      <c r="U17" s="5">
        <f>IF(AND(S9=0,S25=0),"",IF(S9&gt;S25,P9,P25))</f>
        <v>9</v>
      </c>
      <c r="V17" s="5">
        <f>IF(AND(S9=0,S25=0),"",IF(S9&gt;S25,Q9,Q25))</f>
        <v>41</v>
      </c>
      <c r="W17" s="5" t="str">
        <f>IF(AND(S9=0,S25=0),"",IF(S9&gt;S25,R9,R25))</f>
        <v>Ian Phillips</v>
      </c>
      <c r="AD17">
        <v>2</v>
      </c>
      <c r="AE17">
        <f>IF(V17="","",IF(Q9=V17,Q25,Q9))</f>
        <v>61</v>
      </c>
      <c r="AF17" t="str">
        <f>IF(W17="","",IF(R9=W17,R25,R9))</f>
        <v>Martin Richards</v>
      </c>
      <c r="AG17">
        <v>40</v>
      </c>
      <c r="AI17">
        <f>IF(A26=F27,A28,A26)</f>
        <v>14</v>
      </c>
      <c r="AJ17">
        <f t="shared" si="4"/>
        <v>39</v>
      </c>
      <c r="AK17" t="str">
        <f t="shared" si="5"/>
        <v>Paul Beechey</v>
      </c>
    </row>
    <row r="18" spans="1:37" x14ac:dyDescent="0.3">
      <c r="A18" s="1">
        <v>2</v>
      </c>
      <c r="B18" s="1">
        <f>VLOOKUP(A18,'Round 1'!$AI$3:$AK$18,2,0)</f>
        <v>61</v>
      </c>
      <c r="C18" s="1" t="str">
        <f>VLOOKUP(A18,'Round 1'!$AI$3:$AK$18,3,0)</f>
        <v>Martin Richards</v>
      </c>
      <c r="D18" s="1">
        <f>AB15</f>
        <v>3</v>
      </c>
      <c r="E18" s="2"/>
      <c r="T18" s="2"/>
      <c r="Y18" s="1">
        <f>A22</f>
        <v>7</v>
      </c>
      <c r="Z18" s="1">
        <f t="shared" ref="Z18:AA18" si="12">B22</f>
        <v>128</v>
      </c>
      <c r="AA18" s="1" t="str">
        <f t="shared" si="12"/>
        <v>Lwi Edwards</v>
      </c>
      <c r="AB18" s="4">
        <v>3</v>
      </c>
      <c r="AD18">
        <v>3</v>
      </c>
      <c r="AE18">
        <f>IF(AG9&gt;AG10,AE9,IF(AG10&gt;AG9,AE10,IF(AD9&lt;AD10,AE9,AE10)))</f>
        <v>94</v>
      </c>
      <c r="AF18" t="str">
        <f>IF(AG9&gt;AG10,AF9,IF(AG10&gt;AG9,AF10,IF(AD9&lt;AD10,AF9,AF10)))</f>
        <v>Paul Cunnington</v>
      </c>
      <c r="AG18">
        <v>30</v>
      </c>
      <c r="AI18">
        <f>IF(A30=F31,A32,A30)</f>
        <v>6</v>
      </c>
      <c r="AJ18">
        <f t="shared" si="4"/>
        <v>147</v>
      </c>
      <c r="AK18" t="str">
        <f t="shared" si="5"/>
        <v>Richie Gilbey</v>
      </c>
    </row>
    <row r="19" spans="1:37" x14ac:dyDescent="0.3">
      <c r="A19" s="3"/>
      <c r="E19" s="2"/>
      <c r="F19" s="1">
        <f>IF(AND(D18=0,D20=0),"",IF(D18&gt;D20,A18,A20))</f>
        <v>2</v>
      </c>
      <c r="G19" s="1">
        <f>IF(AND(D18=0,D20=0),"",IF(D18&gt;D20,B18,B20))</f>
        <v>61</v>
      </c>
      <c r="H19" s="1" t="str">
        <f>IF(AND(D18=0,D20=0),"",IF(D18&gt;D20,C18,C20))</f>
        <v>Martin Richards</v>
      </c>
      <c r="I19" s="1">
        <f>AB33</f>
        <v>3</v>
      </c>
      <c r="J19" s="2"/>
      <c r="T19" s="2"/>
      <c r="Y19" s="1">
        <f>A24</f>
        <v>10</v>
      </c>
      <c r="Z19" s="1">
        <f t="shared" ref="Z19:AA19" si="13">B24</f>
        <v>66</v>
      </c>
      <c r="AA19" s="1" t="str">
        <f t="shared" si="13"/>
        <v>Andy Frost</v>
      </c>
      <c r="AB19" s="4"/>
      <c r="AD19">
        <v>4</v>
      </c>
      <c r="AE19">
        <f>IF(AG9&gt;AG10,AE10,IF(AG10&gt;AG9,AE9,IF(AD9&lt;AD10,AE10,AE9)))</f>
        <v>86</v>
      </c>
      <c r="AF19" t="str">
        <f>IF(AG9&gt;AG10,AF10,IF(AG10&gt;AG9,AF9,IF(AD9&lt;AD10,AF10,AF9)))</f>
        <v>David Bastin</v>
      </c>
      <c r="AG19">
        <v>25</v>
      </c>
    </row>
    <row r="20" spans="1:37" x14ac:dyDescent="0.3">
      <c r="A20" s="1">
        <v>15</v>
      </c>
      <c r="B20" s="1">
        <f>VLOOKUP(A20,'Round 1'!$AI$3:$AK$18,2,0)</f>
        <v>18</v>
      </c>
      <c r="C20" s="1" t="str">
        <f>VLOOKUP(A20,'Round 1'!$AI$3:$AK$18,3,0)</f>
        <v>Matthew Denham</v>
      </c>
      <c r="D20" s="1">
        <f>AB16</f>
        <v>0</v>
      </c>
      <c r="E20" s="2"/>
      <c r="J20" s="2"/>
      <c r="T20" s="2"/>
      <c r="AD20">
        <v>5</v>
      </c>
      <c r="AE20">
        <f>IF(OR($L$5="",$L$13="",$L$21="",$L$29=""),"",VLOOKUP(SMALL($AI$6:$AI$9,1),$AI$6:$AK$9,2,0))</f>
        <v>55</v>
      </c>
      <c r="AF20" t="str">
        <f>IF(OR($L$5="",$L$13="",$L$21="",$L$29=""),"",VLOOKUP(SMALL($AI$6:$AI$9,1),$AI$6:$AK$9,3,0))</f>
        <v>Oliver Evans</v>
      </c>
      <c r="AG20">
        <v>20</v>
      </c>
    </row>
    <row r="21" spans="1:37" x14ac:dyDescent="0.3">
      <c r="J21" s="2"/>
      <c r="K21" s="1">
        <f>IF(AND(I19=0,I23=0),"",IF(I19&gt;I23,F19,F23))</f>
        <v>2</v>
      </c>
      <c r="L21" s="1">
        <f>IF(AND(I19=0,I23=0),"",IF(I19&gt;I23,G19,G23))</f>
        <v>61</v>
      </c>
      <c r="M21" s="1" t="str">
        <f>IF(AND(I19=0,I23=0),"",IF(I19&gt;I23,H19,H23))</f>
        <v>Martin Richards</v>
      </c>
      <c r="N21" s="1">
        <f>AG6</f>
        <v>3</v>
      </c>
      <c r="O21" s="2"/>
      <c r="T21" s="2"/>
      <c r="Y21" s="1">
        <f>A26</f>
        <v>3</v>
      </c>
      <c r="Z21" s="1">
        <f t="shared" ref="Z21:AA21" si="14">B26</f>
        <v>94</v>
      </c>
      <c r="AA21" s="1" t="str">
        <f t="shared" si="14"/>
        <v>Paul Cunnington</v>
      </c>
      <c r="AB21" s="4">
        <v>3</v>
      </c>
      <c r="AD21">
        <v>6</v>
      </c>
      <c r="AE21">
        <f>IF(OR($L$5="",$L$13="",$L$21="",$L$29=""),"",VLOOKUP(SMALL($AI$6:$AI$9,2),$AI$6:$AK$9,2,0))</f>
        <v>128</v>
      </c>
      <c r="AF21" t="str">
        <f>IF(OR($L$5="",$L$13="",$L$21="",$L$29=""),"",VLOOKUP(SMALL($AI$6:$AI$9,2),$AI$6:$AK$9,3,0))</f>
        <v>Lwi Edwards</v>
      </c>
      <c r="AG21">
        <v>20</v>
      </c>
    </row>
    <row r="22" spans="1:37" x14ac:dyDescent="0.3">
      <c r="A22" s="1">
        <v>7</v>
      </c>
      <c r="B22" s="1">
        <f>VLOOKUP(A22,'Round 1'!$AI$3:$AK$18,2,0)</f>
        <v>128</v>
      </c>
      <c r="C22" s="1" t="str">
        <f>VLOOKUP(A22,'Round 1'!$AI$3:$AK$18,3,0)</f>
        <v>Lwi Edwards</v>
      </c>
      <c r="D22" s="1">
        <f>AB18</f>
        <v>3</v>
      </c>
      <c r="E22" s="2"/>
      <c r="J22" s="2"/>
      <c r="O22" s="2"/>
      <c r="T22" s="2"/>
      <c r="Y22" s="1">
        <f>A28</f>
        <v>14</v>
      </c>
      <c r="Z22" s="1">
        <f t="shared" ref="Z22:AA22" si="15">B28</f>
        <v>39</v>
      </c>
      <c r="AA22" s="1" t="str">
        <f t="shared" si="15"/>
        <v>Paul Beechey</v>
      </c>
      <c r="AB22" s="4"/>
      <c r="AD22">
        <v>7</v>
      </c>
      <c r="AE22">
        <f>IF(OR($L$5="",$L$13="",$L$21="",$L$29=""),"",VLOOKUP(SMALL($AI$6:$AI$9,3),$AI$6:$AK$9,2,0))</f>
        <v>420</v>
      </c>
      <c r="AF22" t="str">
        <f>IF(OR($L$5="",$L$13="",$L$21="",$L$29=""),"",VLOOKUP(SMALL($AI$6:$AI$9,3),$AI$6:$AK$9,3,0))</f>
        <v>Harry Love</v>
      </c>
      <c r="AG22">
        <v>20</v>
      </c>
    </row>
    <row r="23" spans="1:37" x14ac:dyDescent="0.3">
      <c r="A23" s="3"/>
      <c r="E23" s="2"/>
      <c r="F23" s="1">
        <f>IF(AND(D22=0,D24=0),"",IF(D22&gt;D24,A22,A24))</f>
        <v>7</v>
      </c>
      <c r="G23" s="1">
        <f>IF(AND(D22=0,D24=0),"",IF(D22&gt;D24,B22,B24))</f>
        <v>128</v>
      </c>
      <c r="H23" s="1" t="str">
        <f>IF(AND(D22=0,D24=0),"",IF(D22&gt;D24,C22,C24))</f>
        <v>Lwi Edwards</v>
      </c>
      <c r="I23" s="1">
        <f>AB34</f>
        <v>0</v>
      </c>
      <c r="J23" s="2"/>
      <c r="O23" s="2"/>
      <c r="T23" s="2"/>
      <c r="AD23">
        <v>8</v>
      </c>
      <c r="AE23">
        <f>IF(OR($L$5="",$L$13="",$L$21="",$L$29=""),"",VLOOKUP(SMALL($AI$6:$AI$9,4),$AI$6:$AK$9,2,0))</f>
        <v>26</v>
      </c>
      <c r="AF23" t="str">
        <f>IF(OR($L$5="",$L$13="",$L$21="",$L$29=""),"",VLOOKUP(SMALL($AI$6:$AI$9,4),$AI$6:$AK$9,3,0))</f>
        <v>Haydn Cruickshank</v>
      </c>
      <c r="AG23">
        <v>20</v>
      </c>
    </row>
    <row r="24" spans="1:37" x14ac:dyDescent="0.3">
      <c r="A24" s="1">
        <v>10</v>
      </c>
      <c r="B24" s="1">
        <f>VLOOKUP(A24,'Round 1'!$AI$3:$AK$18,2,0)</f>
        <v>66</v>
      </c>
      <c r="C24" s="1" t="str">
        <f>VLOOKUP(A24,'Round 1'!$AI$3:$AK$18,3,0)</f>
        <v>Andy Frost</v>
      </c>
      <c r="D24" s="1">
        <f>AB19</f>
        <v>0</v>
      </c>
      <c r="E24" s="2"/>
      <c r="O24" s="2"/>
      <c r="T24" s="2"/>
      <c r="Y24" s="1">
        <f>A30</f>
        <v>6</v>
      </c>
      <c r="Z24" s="1">
        <f t="shared" ref="Z24:AA24" si="16">B30</f>
        <v>147</v>
      </c>
      <c r="AA24" s="1" t="str">
        <f t="shared" si="16"/>
        <v>Richie Gilbey</v>
      </c>
      <c r="AB24" s="4"/>
      <c r="AD24">
        <v>9</v>
      </c>
      <c r="AE24">
        <f>IF(OR($G$3="",$G$7="",$G$11="",$G$15="",$G$19="",$G$23="",$G$27="",$G$31=""),"",VLOOKUP(SMALL($AI$11:$AI$18,1),$AI$11:$AK$18,2,0))</f>
        <v>93</v>
      </c>
      <c r="AF24" t="str">
        <f>IF(OR($G$3="",$G$7="",$G$11="",$G$15="",$G$19="",$G$23="",$G$27="",$G$31=""),"",VLOOKUP(SMALL($AI$11:$AI$18,1),$AI$11:$AK$18,3,0))</f>
        <v>Josh King</v>
      </c>
      <c r="AG24">
        <v>10</v>
      </c>
    </row>
    <row r="25" spans="1:37" x14ac:dyDescent="0.3">
      <c r="O25" s="2"/>
      <c r="P25" s="1">
        <f>IF(AND(N21=0,N29=0),"",IF(N21&gt;N29,K21,K29))</f>
        <v>2</v>
      </c>
      <c r="Q25" s="1">
        <f>IF(AND(N21=0,N29=0),"",IF(N21&gt;N29,L21,L29))</f>
        <v>61</v>
      </c>
      <c r="R25" s="1" t="str">
        <f>IF(AND(N21=0,N29=0),"",IF(N21&gt;N29,M21,M29))</f>
        <v>Martin Richards</v>
      </c>
      <c r="S25" s="1">
        <f>AG13</f>
        <v>0</v>
      </c>
      <c r="T25" s="2"/>
      <c r="Y25" s="1">
        <f>A32</f>
        <v>11</v>
      </c>
      <c r="Z25" s="1">
        <f t="shared" ref="Z25:AA25" si="17">B32</f>
        <v>420</v>
      </c>
      <c r="AA25" s="1" t="str">
        <f t="shared" si="17"/>
        <v>Harry Love</v>
      </c>
      <c r="AB25" s="4">
        <v>3</v>
      </c>
      <c r="AD25">
        <v>10</v>
      </c>
      <c r="AE25">
        <f>IF(OR($G$3="",$G$7="",$G$11="",$G$15="",$G$19="",$G$23="",$G$27="",$G$31=""),"",VLOOKUP(SMALL($AI$11:$AI$18,2),$AI$11:$AK$18,2,0))</f>
        <v>147</v>
      </c>
      <c r="AF25" t="str">
        <f>IF(OR($G$3="",$G$7="",$G$11="",$G$15="",$G$19="",$G$23="",$G$27="",$G$31=""),"",VLOOKUP(SMALL($AI$11:$AI$18,2),$AI$11:$AK$18,3,0))</f>
        <v>Richie Gilbey</v>
      </c>
      <c r="AG25">
        <v>10</v>
      </c>
    </row>
    <row r="26" spans="1:37" x14ac:dyDescent="0.3">
      <c r="A26" s="1">
        <v>3</v>
      </c>
      <c r="B26" s="1">
        <f>VLOOKUP(A26,'Round 1'!$AI$3:$AK$18,2,0)</f>
        <v>94</v>
      </c>
      <c r="C26" s="1" t="str">
        <f>VLOOKUP(A26,'Round 1'!$AI$3:$AK$18,3,0)</f>
        <v>Paul Cunnington</v>
      </c>
      <c r="D26" s="1">
        <f>AB21</f>
        <v>3</v>
      </c>
      <c r="E26" s="2"/>
      <c r="O26" s="2"/>
      <c r="Y26" s="2"/>
      <c r="Z26" s="2"/>
      <c r="AA26" s="2"/>
      <c r="AB26" s="2"/>
      <c r="AD26">
        <v>11</v>
      </c>
      <c r="AE26">
        <f>IF(OR($G$3="",$G$7="",$G$11="",$G$15="",$G$19="",$G$23="",$G$27="",$G$31=""),"",VLOOKUP(SMALL($AI$11:$AI$18,3),$AI$11:$AK$18,2,0))</f>
        <v>366</v>
      </c>
      <c r="AF26" t="str">
        <f>IF(OR($G$3="",$G$7="",$G$11="",$G$15="",$G$19="",$G$23="",$G$27="",$G$31=""),"",VLOOKUP(SMALL($AI$11:$AI$18,3),$AI$11:$AK$18,3,0))</f>
        <v>Micheal Bennett</v>
      </c>
      <c r="AG26">
        <v>10</v>
      </c>
    </row>
    <row r="27" spans="1:37" x14ac:dyDescent="0.3">
      <c r="A27" s="3"/>
      <c r="E27" s="2"/>
      <c r="F27" s="1">
        <f>IF(AND(D26=0,D28=0),"",IF(D26&gt;D28,A26,A28))</f>
        <v>3</v>
      </c>
      <c r="G27" s="1">
        <f>IF(AND(D26=0,D28=0),"",IF(D26&gt;D28,B26,B28))</f>
        <v>94</v>
      </c>
      <c r="H27" s="1" t="str">
        <f>IF(AND(D26=0,D28=0),"",IF(D26&gt;D28,C26,C28))</f>
        <v>Paul Cunnington</v>
      </c>
      <c r="I27" s="1">
        <f>AB36</f>
        <v>3</v>
      </c>
      <c r="J27" s="2"/>
      <c r="O27" s="2"/>
      <c r="Y27" s="1">
        <f>F3</f>
        <v>1</v>
      </c>
      <c r="Z27" s="1">
        <f t="shared" ref="Z27:AA27" si="18">G3</f>
        <v>55</v>
      </c>
      <c r="AA27" s="1" t="str">
        <f t="shared" si="18"/>
        <v>Oliver Evans</v>
      </c>
      <c r="AB27" s="4"/>
      <c r="AD27">
        <v>12</v>
      </c>
      <c r="AE27">
        <f>IF(OR($G$3="",$G$7="",$G$11="",$G$15="",$G$19="",$G$23="",$G$27="",$G$31=""),"",VLOOKUP(SMALL($AI$11:$AI$18,4),$AI$11:$AK$18,2,0))</f>
        <v>66</v>
      </c>
      <c r="AF27" t="str">
        <f>IF(OR($G$3="",$G$7="",$G$11="",$G$15="",$G$19="",$G$23="",$G$27="",$G$31=""),"",VLOOKUP(SMALL($AI$11:$AI$18,4),$AI$11:$AK$18,3,0))</f>
        <v>Andy Frost</v>
      </c>
      <c r="AG27">
        <v>10</v>
      </c>
    </row>
    <row r="28" spans="1:37" x14ac:dyDescent="0.3">
      <c r="A28" s="1">
        <v>14</v>
      </c>
      <c r="B28" s="1">
        <f>VLOOKUP(A28,'Round 1'!$AI$3:$AK$18,2,0)</f>
        <v>39</v>
      </c>
      <c r="C28" s="1" t="str">
        <f>VLOOKUP(A28,'Round 1'!$AI$3:$AK$18,3,0)</f>
        <v>Paul Beechey</v>
      </c>
      <c r="D28" s="1">
        <f>AB22</f>
        <v>0</v>
      </c>
      <c r="E28" s="2"/>
      <c r="J28" s="2"/>
      <c r="O28" s="2"/>
      <c r="Y28" s="1">
        <f>F7</f>
        <v>9</v>
      </c>
      <c r="Z28" s="1">
        <f t="shared" ref="Z28:AA28" si="19">G7</f>
        <v>41</v>
      </c>
      <c r="AA28" s="1" t="str">
        <f t="shared" si="19"/>
        <v>Ian Phillips</v>
      </c>
      <c r="AB28" s="4">
        <v>3</v>
      </c>
      <c r="AD28">
        <v>13</v>
      </c>
      <c r="AE28">
        <f>IF(OR($G$3="",$G$7="",$G$11="",$G$15="",$G$19="",$G$23="",$G$27="",$G$31=""),"",VLOOKUP(SMALL($AI$11:$AI$18,5),$AI$11:$AK$18,2,0))</f>
        <v>112</v>
      </c>
      <c r="AF28" t="str">
        <f>IF(OR($G$3="",$G$7="",$G$11="",$G$15="",$G$19="",$G$23="",$G$27="",$G$31=""),"",VLOOKUP(SMALL($AI$11:$AI$18,5),$AI$11:$AK$18,3,0))</f>
        <v>Nathan Chivers</v>
      </c>
      <c r="AG28">
        <v>10</v>
      </c>
    </row>
    <row r="29" spans="1:37" x14ac:dyDescent="0.3">
      <c r="J29" s="2"/>
      <c r="K29" s="1">
        <f>IF(AND(I27=0,I31=0),"",IF(I27&gt;I31,F27,F31))</f>
        <v>3</v>
      </c>
      <c r="L29" s="1">
        <f>IF(AND(I27=0,I31=0),"",IF(I27&gt;I31,G27,G31))</f>
        <v>94</v>
      </c>
      <c r="M29" s="1" t="str">
        <f>IF(AND(I27=0,I31=0),"",IF(I27&gt;I31,H27,H31))</f>
        <v>Paul Cunnington</v>
      </c>
      <c r="N29" s="1">
        <f>AG7</f>
        <v>0</v>
      </c>
      <c r="O29" s="2"/>
      <c r="AD29">
        <v>14</v>
      </c>
      <c r="AE29">
        <f>IF(OR($G$3="",$G$7="",$G$11="",$G$15="",$G$19="",$G$23="",$G$27="",$G$31=""),"",VLOOKUP(SMALL($AI$11:$AI$18,6),$AI$11:$AK$18,2,0))</f>
        <v>39</v>
      </c>
      <c r="AF29" t="str">
        <f>IF(OR($G$3="",$G$7="",$G$11="",$G$15="",$G$19="",$G$23="",$G$27="",$G$31=""),"",VLOOKUP(SMALL($AI$11:$AI$18,6),$AI$11:$AK$18,3,0))</f>
        <v>Paul Beechey</v>
      </c>
      <c r="AG29">
        <v>10</v>
      </c>
    </row>
    <row r="30" spans="1:37" x14ac:dyDescent="0.3">
      <c r="A30" s="1">
        <v>6</v>
      </c>
      <c r="B30" s="1">
        <f>VLOOKUP(A30,'Round 1'!$AI$3:$AK$18,2,0)</f>
        <v>147</v>
      </c>
      <c r="C30" s="1" t="str">
        <f>VLOOKUP(A30,'Round 1'!$AI$3:$AK$18,3,0)</f>
        <v>Richie Gilbey</v>
      </c>
      <c r="D30" s="1">
        <f>AB24</f>
        <v>0</v>
      </c>
      <c r="E30" s="2"/>
      <c r="J30" s="2"/>
      <c r="Y30" s="1">
        <f>F11</f>
        <v>4</v>
      </c>
      <c r="Z30" s="1">
        <f t="shared" ref="Z30:AA30" si="20">G11</f>
        <v>86</v>
      </c>
      <c r="AA30" s="1" t="str">
        <f t="shared" si="20"/>
        <v>David Bastin</v>
      </c>
      <c r="AB30" s="4">
        <v>3</v>
      </c>
      <c r="AD30">
        <v>15</v>
      </c>
      <c r="AE30">
        <f>IF(OR($G$3="",$G$7="",$G$11="",$G$15="",$G$19="",$G$23="",$G$27="",$G$31=""),"",VLOOKUP(SMALL($AI$11:$AI$18,7),$AI$11:$AK$18,2,0))</f>
        <v>18</v>
      </c>
      <c r="AF30" t="str">
        <f>IF(OR($G$3="",$G$7="",$G$11="",$G$15="",$G$19="",$G$23="",$G$27="",$G$31=""),"",VLOOKUP(SMALL($AI$11:$AI$18,7),$AI$11:$AK$18,3,0))</f>
        <v>Matthew Denham</v>
      </c>
      <c r="AG30">
        <v>0</v>
      </c>
    </row>
    <row r="31" spans="1:37" x14ac:dyDescent="0.3">
      <c r="A31" s="3"/>
      <c r="E31" s="2"/>
      <c r="F31" s="1">
        <f>IF(AND(D30=0,D32=0),"",IF(D30&gt;D32,A30,A32))</f>
        <v>11</v>
      </c>
      <c r="G31" s="1">
        <f>IF(AND(D30=0,D32=0),"",IF(D30&gt;D32,B30,B32))</f>
        <v>420</v>
      </c>
      <c r="H31" s="1" t="str">
        <f>IF(AND(D30=0,D32=0),"",IF(D30&gt;D32,C30,C32))</f>
        <v>Harry Love</v>
      </c>
      <c r="I31" s="1">
        <f>AB37</f>
        <v>0</v>
      </c>
      <c r="J31" s="2"/>
      <c r="P31" s="1">
        <f>AD9</f>
        <v>4</v>
      </c>
      <c r="Q31" s="1">
        <f>AE9</f>
        <v>86</v>
      </c>
      <c r="R31" s="1" t="str">
        <f>AF9</f>
        <v>David Bastin</v>
      </c>
      <c r="S31" s="1">
        <f>AG9</f>
        <v>0</v>
      </c>
      <c r="T31" s="2"/>
      <c r="Y31" s="1">
        <f>F15</f>
        <v>12</v>
      </c>
      <c r="Z31" s="1">
        <f t="shared" ref="Z31:AA31" si="21">G15</f>
        <v>26</v>
      </c>
      <c r="AA31" s="1" t="str">
        <f t="shared" si="21"/>
        <v>Haydn Cruickshank</v>
      </c>
      <c r="AB31" s="4"/>
      <c r="AD31">
        <v>16</v>
      </c>
      <c r="AE31">
        <f>IF(OR($G$3="",$G$7="",$G$11="",$G$15="",$G$19="",$G$23="",$G$27="",$G$31=""),"",VLOOKUP(SMALL($AI$11:$AI$18,8),$AI$11:$AK$18,2,0))</f>
        <v>22</v>
      </c>
      <c r="AF31" t="str">
        <f>IF(OR($G$3="",$G$7="",$G$11="",$G$15="",$G$19="",$G$23="",$G$27="",$G$31=""),"",VLOOKUP(SMALL($AI$11:$AI$18,8),$AI$11:$AK$18,3,0))</f>
        <v>Joel Conlan</v>
      </c>
      <c r="AG31">
        <v>1</v>
      </c>
    </row>
    <row r="32" spans="1:37" x14ac:dyDescent="0.3">
      <c r="A32" s="1">
        <v>11</v>
      </c>
      <c r="B32" s="1">
        <f>VLOOKUP(A32,'Round 1'!$AI$3:$AK$18,2,0)</f>
        <v>420</v>
      </c>
      <c r="C32" s="1" t="str">
        <f>VLOOKUP(A32,'Round 1'!$AI$3:$AK$18,3,0)</f>
        <v>Harry Love</v>
      </c>
      <c r="D32" s="1">
        <f>AB25</f>
        <v>3</v>
      </c>
      <c r="E32" s="2"/>
      <c r="T32" s="2"/>
      <c r="U32" s="1"/>
      <c r="V32" s="1">
        <f>AE18</f>
        <v>94</v>
      </c>
      <c r="W32" s="1" t="str">
        <f>AF18</f>
        <v>Paul Cunnington</v>
      </c>
      <c r="AD32">
        <v>17</v>
      </c>
      <c r="AE32">
        <f>VLOOKUP(Table5[[#This Row],[Final]],'Round 1'!$X$19:$AG$27,3,0)</f>
        <v>56</v>
      </c>
      <c r="AF32" t="str">
        <f>VLOOKUP(Table5[[#This Row],[Final]],'Round 1'!$X$19:$AG$27,4,0)</f>
        <v>Jonathan Smith</v>
      </c>
      <c r="AG32">
        <f>VLOOKUP(Table5[[#This Row],[Final]],'Round 1'!$X$19:$AG$27,10,0)</f>
        <v>0</v>
      </c>
    </row>
    <row r="33" spans="16:33" x14ac:dyDescent="0.3">
      <c r="P33" s="1">
        <f>AD10</f>
        <v>3</v>
      </c>
      <c r="Q33" s="1">
        <f>AE10</f>
        <v>94</v>
      </c>
      <c r="R33" s="1" t="str">
        <f>AF10</f>
        <v>Paul Cunnington</v>
      </c>
      <c r="S33" s="1">
        <f>AG10</f>
        <v>3</v>
      </c>
      <c r="T33" s="2"/>
      <c r="Y33" s="1">
        <f>F19</f>
        <v>2</v>
      </c>
      <c r="Z33" s="1">
        <f>G19</f>
        <v>61</v>
      </c>
      <c r="AA33" s="1" t="str">
        <f>H19</f>
        <v>Martin Richards</v>
      </c>
      <c r="AB33" s="4">
        <v>3</v>
      </c>
      <c r="AD33">
        <v>18</v>
      </c>
      <c r="AE33">
        <f>VLOOKUP(Table5[[#This Row],[Final]],'Round 1'!$X$19:$AG$27,3,0)</f>
        <v>157</v>
      </c>
      <c r="AF33" t="str">
        <f>VLOOKUP(Table5[[#This Row],[Final]],'Round 1'!$X$19:$AG$27,4,0)</f>
        <v>George Barclay</v>
      </c>
      <c r="AG33">
        <f>VLOOKUP(Table5[[#This Row],[Final]],'Round 1'!$X$19:$AG$27,10,0)</f>
        <v>0</v>
      </c>
    </row>
    <row r="34" spans="16:33" x14ac:dyDescent="0.3">
      <c r="Y34" s="1">
        <f>F23</f>
        <v>7</v>
      </c>
      <c r="Z34" s="1">
        <f>G23</f>
        <v>128</v>
      </c>
      <c r="AA34" s="1" t="str">
        <f>H23</f>
        <v>Lwi Edwards</v>
      </c>
      <c r="AB34" s="4"/>
      <c r="AD34">
        <v>19</v>
      </c>
      <c r="AE34">
        <f>VLOOKUP(Table5[[#This Row],[Final]],'Round 1'!$X$19:$AG$27,3,0)</f>
        <v>265</v>
      </c>
      <c r="AF34" t="str">
        <f>VLOOKUP(Table5[[#This Row],[Final]],'Round 1'!$X$19:$AG$27,4,0)</f>
        <v>Axel Hildebrand</v>
      </c>
      <c r="AG34">
        <f>VLOOKUP(Table5[[#This Row],[Final]],'Round 1'!$X$19:$AG$27,10,0)</f>
        <v>1</v>
      </c>
    </row>
    <row r="35" spans="16:33" x14ac:dyDescent="0.3">
      <c r="AD35">
        <v>20</v>
      </c>
      <c r="AE35">
        <f>VLOOKUP(Table5[[#This Row],[Final]],'Round 1'!$X$19:$AG$27,3,0)</f>
        <v>666</v>
      </c>
      <c r="AF35" t="str">
        <f>VLOOKUP(Table5[[#This Row],[Final]],'Round 1'!$X$19:$AG$27,4,0)</f>
        <v>Ryan Toporowski</v>
      </c>
      <c r="AG35">
        <f>VLOOKUP(Table5[[#This Row],[Final]],'Round 1'!$X$19:$AG$27,10,0)</f>
        <v>1</v>
      </c>
    </row>
    <row r="36" spans="16:33" x14ac:dyDescent="0.3">
      <c r="Y36" s="1">
        <f>F27</f>
        <v>3</v>
      </c>
      <c r="Z36" s="1">
        <f>G27</f>
        <v>94</v>
      </c>
      <c r="AA36" s="1" t="str">
        <f>H27</f>
        <v>Paul Cunnington</v>
      </c>
      <c r="AB36" s="4">
        <v>3</v>
      </c>
      <c r="AD36">
        <v>21</v>
      </c>
      <c r="AE36" t="e">
        <f>VLOOKUP(Table5[[#This Row],[Final]],'Round 1'!$X$19:$AG$27,3,0)</f>
        <v>#N/A</v>
      </c>
      <c r="AF36" t="e">
        <f>VLOOKUP(Table5[[#This Row],[Final]],'Round 1'!$X$19:$AG$27,4,0)</f>
        <v>#N/A</v>
      </c>
      <c r="AG36" t="e">
        <f>VLOOKUP(Table5[[#This Row],[Final]],'Round 1'!$X$19:$AG$27,10,0)</f>
        <v>#N/A</v>
      </c>
    </row>
    <row r="37" spans="16:33" x14ac:dyDescent="0.3">
      <c r="Y37" s="1">
        <f>F31</f>
        <v>11</v>
      </c>
      <c r="Z37" s="1">
        <f>G31</f>
        <v>420</v>
      </c>
      <c r="AA37" s="1" t="str">
        <f>H31</f>
        <v>Harry Love</v>
      </c>
      <c r="AB37" s="4"/>
      <c r="AD37">
        <v>22</v>
      </c>
      <c r="AE37" t="e">
        <f>VLOOKUP(Table5[[#This Row],[Final]],'Round 1'!$X$19:$AG$27,3,0)</f>
        <v>#N/A</v>
      </c>
      <c r="AF37" t="e">
        <f>VLOOKUP(Table5[[#This Row],[Final]],'Round 1'!$X$19:$AG$27,4,0)</f>
        <v>#N/A</v>
      </c>
      <c r="AG37" t="e">
        <f>VLOOKUP(Table5[[#This Row],[Final]],'Round 1'!$X$19:$AG$27,10,0)</f>
        <v>#N/A</v>
      </c>
    </row>
    <row r="38" spans="16:33" x14ac:dyDescent="0.3">
      <c r="AD38">
        <v>23</v>
      </c>
      <c r="AE38" t="e">
        <f>VLOOKUP(Table5[[#This Row],[Final]],'Round 1'!$X$19:$AG$27,3,0)</f>
        <v>#N/A</v>
      </c>
      <c r="AF38" t="e">
        <f>VLOOKUP(Table5[[#This Row],[Final]],'Round 1'!$X$19:$AG$27,4,0)</f>
        <v>#N/A</v>
      </c>
      <c r="AG38" t="e">
        <f>VLOOKUP(Table5[[#This Row],[Final]],'Round 1'!$X$19:$AG$27,10,0)</f>
        <v>#N/A</v>
      </c>
    </row>
    <row r="39" spans="16:33" x14ac:dyDescent="0.3">
      <c r="AD39">
        <v>24</v>
      </c>
      <c r="AE39" t="e">
        <f>VLOOKUP(Table5[[#This Row],[Final]],'Round 1'!$X$19:$AG$27,3,0)</f>
        <v>#N/A</v>
      </c>
      <c r="AF39" t="e">
        <f>VLOOKUP(Table5[[#This Row],[Final]],'Round 1'!$X$19:$AG$27,4,0)</f>
        <v>#N/A</v>
      </c>
      <c r="AG39" t="e">
        <f>VLOOKUP(Table5[[#This Row],[Final]],'Round 1'!$X$19:$AG$27,10,0)</f>
        <v>#N/A</v>
      </c>
    </row>
    <row r="40" spans="16:33" x14ac:dyDescent="0.3">
      <c r="AD40">
        <v>25</v>
      </c>
      <c r="AE40" t="e">
        <f>VLOOKUP(Table5[[#This Row],[Final]],'Round 1'!$X$19:$AG$27,3,0)</f>
        <v>#N/A</v>
      </c>
      <c r="AF40" t="e">
        <f>VLOOKUP(Table5[[#This Row],[Final]],'Round 1'!$X$19:$AG$27,4,0)</f>
        <v>#N/A</v>
      </c>
      <c r="AG40" t="e">
        <f>VLOOKUP(Table5[[#This Row],[Final]],'Round 1'!$X$19:$AG$27,10,0)</f>
        <v>#N/A</v>
      </c>
    </row>
  </sheetData>
  <sheetProtection sheet="1" objects="1" scenarios="1"/>
  <conditionalFormatting sqref="A2:D2">
    <cfRule type="expression" dxfId="1391" priority="138">
      <formula>$D2&gt;$D4</formula>
    </cfRule>
    <cfRule type="expression" dxfId="1390" priority="136">
      <formula>$D2&lt;$D4</formula>
    </cfRule>
    <cfRule type="expression" dxfId="1389" priority="135">
      <formula>AND($D2=$D4,$A2&lt;$A4)</formula>
    </cfRule>
  </conditionalFormatting>
  <conditionalFormatting sqref="A4:D4">
    <cfRule type="expression" dxfId="1388" priority="134">
      <formula>$D4&lt;$D2</formula>
    </cfRule>
    <cfRule type="expression" dxfId="1387" priority="137">
      <formula>$D4&gt;$D2</formula>
    </cfRule>
    <cfRule type="expression" dxfId="1386" priority="133">
      <formula>AND($D4=$D2,$A4&lt;$A2)</formula>
    </cfRule>
  </conditionalFormatting>
  <conditionalFormatting sqref="A6:D6 A10:D10 A14:D14 A18:D18 A22:D22 A26:D26 A30:D30">
    <cfRule type="expression" dxfId="1385" priority="107">
      <formula>$D6&lt;$D8</formula>
    </cfRule>
    <cfRule type="expression" dxfId="1384" priority="106">
      <formula>AND($D6=$D8,$A6&lt;$A8)</formula>
    </cfRule>
    <cfRule type="expression" dxfId="1383" priority="108">
      <formula>$D6&gt;$D8</formula>
    </cfRule>
  </conditionalFormatting>
  <conditionalFormatting sqref="A8:D8 A12:D12 A16:D16 A20:D20 A24:D24 A28:D28 A32:D32">
    <cfRule type="expression" dxfId="1382" priority="105">
      <formula>$D8&gt;$D6</formula>
    </cfRule>
    <cfRule type="expression" dxfId="1381" priority="103">
      <formula>AND($D8=$D6,$A8&lt;$A6)</formula>
    </cfRule>
    <cfRule type="expression" dxfId="1380" priority="104">
      <formula>$D8&lt;$D6</formula>
    </cfRule>
  </conditionalFormatting>
  <conditionalFormatting sqref="F3:I3">
    <cfRule type="expression" dxfId="1379" priority="132">
      <formula>$I3&gt;$I7</formula>
    </cfRule>
    <cfRule type="expression" dxfId="1378" priority="131">
      <formula>$I3&lt;$I7</formula>
    </cfRule>
    <cfRule type="expression" dxfId="1377" priority="130">
      <formula>AND($I3=$I7,$F3&lt;$F7)</formula>
    </cfRule>
  </conditionalFormatting>
  <conditionalFormatting sqref="F7:I7">
    <cfRule type="expression" dxfId="1376" priority="126">
      <formula>$I7&gt;$I3</formula>
    </cfRule>
    <cfRule type="expression" dxfId="1375" priority="125">
      <formula>$I7&lt;$I3</formula>
    </cfRule>
    <cfRule type="expression" dxfId="1374" priority="124">
      <formula>AND($I7=$I3,$F7&lt;$F3)</formula>
    </cfRule>
  </conditionalFormatting>
  <conditionalFormatting sqref="F11:I11 F19:I19 F27:I27">
    <cfRule type="expression" dxfId="1373" priority="127">
      <formula>AND($I11=$I15,$F11&lt;$F15)</formula>
    </cfRule>
    <cfRule type="expression" dxfId="1372" priority="129">
      <formula>$I11&gt;$I15</formula>
    </cfRule>
    <cfRule type="expression" dxfId="1371" priority="128">
      <formula>$I11&lt;$I15</formula>
    </cfRule>
  </conditionalFormatting>
  <conditionalFormatting sqref="F15:I15 F23:I23 F31:I31">
    <cfRule type="expression" dxfId="1370" priority="122">
      <formula>$I15&lt;$I11</formula>
    </cfRule>
    <cfRule type="expression" dxfId="1369" priority="123">
      <formula>$I15&gt;$I11</formula>
    </cfRule>
    <cfRule type="expression" dxfId="1368" priority="121">
      <formula>AND($I15=$I11,$F15&lt;$F11)</formula>
    </cfRule>
  </conditionalFormatting>
  <conditionalFormatting sqref="K5:N5">
    <cfRule type="expression" dxfId="1367" priority="120">
      <formula>$N5&gt;$N13</formula>
    </cfRule>
    <cfRule type="expression" dxfId="1366" priority="119">
      <formula>$N5&lt;$N13</formula>
    </cfRule>
    <cfRule type="expression" dxfId="1365" priority="118">
      <formula>AND($N5=$N13,$K5&lt;$K13)</formula>
    </cfRule>
  </conditionalFormatting>
  <conditionalFormatting sqref="K13:N13">
    <cfRule type="expression" dxfId="1364" priority="112">
      <formula>AND($N13=$N5,$K13&lt;$K5)</formula>
    </cfRule>
    <cfRule type="expression" dxfId="1363" priority="114">
      <formula>$N13&gt;$N5</formula>
    </cfRule>
    <cfRule type="expression" dxfId="1362" priority="113">
      <formula>$N13&lt;$N5</formula>
    </cfRule>
  </conditionalFormatting>
  <conditionalFormatting sqref="K21:N21">
    <cfRule type="expression" dxfId="1361" priority="115">
      <formula>AND($N21=$N29,$K21&lt;$K29)</formula>
    </cfRule>
    <cfRule type="expression" dxfId="1360" priority="117">
      <formula>$N21&gt;$N29</formula>
    </cfRule>
    <cfRule type="expression" dxfId="1359" priority="116">
      <formula>$N21&lt;$N29</formula>
    </cfRule>
  </conditionalFormatting>
  <conditionalFormatting sqref="K29:N29">
    <cfRule type="expression" dxfId="1358" priority="111">
      <formula>$N29&gt;$N21</formula>
    </cfRule>
    <cfRule type="expression" dxfId="1357" priority="109">
      <formula>AND($N29=$N21,$K29&lt;$K21)</formula>
    </cfRule>
    <cfRule type="expression" dxfId="1356" priority="110">
      <formula>$N29&lt;$N21</formula>
    </cfRule>
  </conditionalFormatting>
  <conditionalFormatting sqref="P9:S9">
    <cfRule type="expression" dxfId="1355" priority="102">
      <formula>$S9&gt;$S25</formula>
    </cfRule>
    <cfRule type="expression" dxfId="1354" priority="101">
      <formula>$S9&lt;$S25</formula>
    </cfRule>
    <cfRule type="expression" dxfId="1353" priority="100">
      <formula>AND($S9=$S25,$P9&lt;$P25)</formula>
    </cfRule>
  </conditionalFormatting>
  <conditionalFormatting sqref="P25:S25">
    <cfRule type="expression" dxfId="1352" priority="99">
      <formula>$S25&gt;$S9</formula>
    </cfRule>
    <cfRule type="expression" dxfId="1351" priority="98">
      <formula>$S25&lt;$S9</formula>
    </cfRule>
    <cfRule type="expression" dxfId="1350" priority="97">
      <formula>AND($S25=$S9,$P25&lt;$P9)</formula>
    </cfRule>
  </conditionalFormatting>
  <conditionalFormatting sqref="Y3:AB3">
    <cfRule type="expression" dxfId="1349" priority="96">
      <formula>AND($AB3=$AB4,$Y3&lt;$Y4)</formula>
    </cfRule>
    <cfRule type="expression" dxfId="1348" priority="95">
      <formula>$AB3&gt;$AB4</formula>
    </cfRule>
    <cfRule type="expression" dxfId="1347" priority="94">
      <formula>$AB3&lt;$AB4</formula>
    </cfRule>
  </conditionalFormatting>
  <conditionalFormatting sqref="Y4:AB4">
    <cfRule type="expression" dxfId="1346" priority="93">
      <formula>AND($AB4=$AB3,$Y4&lt;$Y3)</formula>
    </cfRule>
    <cfRule type="expression" dxfId="1345" priority="92">
      <formula>$AB4&gt;$AB3</formula>
    </cfRule>
    <cfRule type="expression" dxfId="1344" priority="91">
      <formula>$AB4&lt;$AB3</formula>
    </cfRule>
  </conditionalFormatting>
  <conditionalFormatting sqref="Y6:AB6">
    <cfRule type="expression" dxfId="1343" priority="89">
      <formula>$AB6&gt;$AB7</formula>
    </cfRule>
    <cfRule type="expression" dxfId="1342" priority="90">
      <formula>AND($AB6=$AB7,$Y6&lt;$Y7)</formula>
    </cfRule>
    <cfRule type="expression" dxfId="1341" priority="88">
      <formula>$AB6&lt;$AB7</formula>
    </cfRule>
  </conditionalFormatting>
  <conditionalFormatting sqref="Y7:AB7">
    <cfRule type="expression" dxfId="1340" priority="87">
      <formula>AND($AB7=$AB6,$Y7&lt;$Y6)</formula>
    </cfRule>
    <cfRule type="expression" dxfId="1339" priority="86">
      <formula>$AB7&gt;$AB6</formula>
    </cfRule>
    <cfRule type="expression" dxfId="1338" priority="85">
      <formula>$AB7&lt;$AB6</formula>
    </cfRule>
  </conditionalFormatting>
  <conditionalFormatting sqref="Y9:AB9">
    <cfRule type="expression" dxfId="1337" priority="84">
      <formula>AND($AB9=$AB10,$Y9&lt;$Y10)</formula>
    </cfRule>
    <cfRule type="expression" dxfId="1336" priority="83">
      <formula>$AB9&gt;$AB10</formula>
    </cfRule>
    <cfRule type="expression" dxfId="1335" priority="82">
      <formula>$AB9&lt;$AB10</formula>
    </cfRule>
  </conditionalFormatting>
  <conditionalFormatting sqref="Y10:AB10">
    <cfRule type="expression" dxfId="1334" priority="81">
      <formula>AND($AB10=$AB9,$Y10&lt;$Y9)</formula>
    </cfRule>
    <cfRule type="expression" dxfId="1333" priority="80">
      <formula>$AB10&gt;$AB9</formula>
    </cfRule>
    <cfRule type="expression" dxfId="1332" priority="79">
      <formula>$AB10&lt;$AB9</formula>
    </cfRule>
  </conditionalFormatting>
  <conditionalFormatting sqref="Y12:AB12">
    <cfRule type="expression" dxfId="1331" priority="78">
      <formula>AND($AB12=$AB13,$Y12&lt;$Y13)</formula>
    </cfRule>
    <cfRule type="expression" dxfId="1330" priority="76">
      <formula>$AB12&lt;$AB13</formula>
    </cfRule>
    <cfRule type="expression" dxfId="1329" priority="77">
      <formula>$AB12&gt;$AB13</formula>
    </cfRule>
  </conditionalFormatting>
  <conditionalFormatting sqref="Y13:AB13">
    <cfRule type="expression" dxfId="1328" priority="73">
      <formula>$AB13&lt;$AB12</formula>
    </cfRule>
    <cfRule type="expression" dxfId="1327" priority="74">
      <formula>$AB13&gt;$AB12</formula>
    </cfRule>
    <cfRule type="expression" dxfId="1326" priority="75">
      <formula>AND($AB13=$AB12,$Y13&lt;$Y12)</formula>
    </cfRule>
  </conditionalFormatting>
  <conditionalFormatting sqref="Y15:AB15">
    <cfRule type="expression" dxfId="1325" priority="72">
      <formula>AND($AB15=$AB16,$Y15&lt;$Y16)</formula>
    </cfRule>
    <cfRule type="expression" dxfId="1324" priority="71">
      <formula>$AB15&gt;$AB16</formula>
    </cfRule>
    <cfRule type="expression" dxfId="1323" priority="70">
      <formula>$AB15&lt;$AB16</formula>
    </cfRule>
  </conditionalFormatting>
  <conditionalFormatting sqref="Y16:AB16">
    <cfRule type="expression" dxfId="1322" priority="67">
      <formula>$AB16&lt;$AB15</formula>
    </cfRule>
    <cfRule type="expression" dxfId="1321" priority="69">
      <formula>AND($AB16=$AB15,$Y16&lt;$Y15)</formula>
    </cfRule>
    <cfRule type="expression" dxfId="1320" priority="68">
      <formula>$AB16&gt;$AB15</formula>
    </cfRule>
  </conditionalFormatting>
  <conditionalFormatting sqref="Y18:AB18">
    <cfRule type="expression" dxfId="1319" priority="66">
      <formula>AND($AB18=$AB19,$Y18&lt;$Y19)</formula>
    </cfRule>
    <cfRule type="expression" dxfId="1318" priority="65">
      <formula>$AB18&gt;$AB19</formula>
    </cfRule>
    <cfRule type="expression" dxfId="1317" priority="64">
      <formula>$AB18&lt;$AB19</formula>
    </cfRule>
  </conditionalFormatting>
  <conditionalFormatting sqref="Y19:AB19">
    <cfRule type="expression" dxfId="1316" priority="63">
      <formula>AND($AB19=$AB18,$Y19&lt;$Y18)</formula>
    </cfRule>
    <cfRule type="expression" dxfId="1315" priority="62">
      <formula>$AB19&gt;$AB18</formula>
    </cfRule>
    <cfRule type="expression" dxfId="1314" priority="61">
      <formula>$AB19&lt;$AB18</formula>
    </cfRule>
  </conditionalFormatting>
  <conditionalFormatting sqref="Y21:AB21">
    <cfRule type="expression" dxfId="1313" priority="60">
      <formula>AND($AB21=$AB22,$Y21&lt;$Y22)</formula>
    </cfRule>
    <cfRule type="expression" dxfId="1312" priority="59">
      <formula>$AB21&gt;$AB22</formula>
    </cfRule>
    <cfRule type="expression" dxfId="1311" priority="58">
      <formula>$AB21&lt;$AB22</formula>
    </cfRule>
  </conditionalFormatting>
  <conditionalFormatting sqref="Y22:AB22">
    <cfRule type="expression" dxfId="1310" priority="57">
      <formula>AND($AB22=$AB21,$Y22&lt;$Y21)</formula>
    </cfRule>
    <cfRule type="expression" dxfId="1309" priority="56">
      <formula>$AB22&gt;$AB21</formula>
    </cfRule>
    <cfRule type="expression" dxfId="1308" priority="55">
      <formula>$AB22&lt;$AB21</formula>
    </cfRule>
  </conditionalFormatting>
  <conditionalFormatting sqref="Y24:AB24">
    <cfRule type="expression" dxfId="1307" priority="54">
      <formula>AND($AB24=$AB25,$Y24&lt;$Y25)</formula>
    </cfRule>
    <cfRule type="expression" dxfId="1306" priority="53">
      <formula>$AB24&gt;$AB25</formula>
    </cfRule>
    <cfRule type="expression" dxfId="1305" priority="52">
      <formula>$AB24&lt;$AB25</formula>
    </cfRule>
  </conditionalFormatting>
  <conditionalFormatting sqref="Y25:AB25">
    <cfRule type="expression" dxfId="1304" priority="51">
      <formula>AND($AB25=$AB24,$Y25&lt;$Y24)</formula>
    </cfRule>
    <cfRule type="expression" dxfId="1303" priority="50">
      <formula>$AB25&gt;$AB24</formula>
    </cfRule>
    <cfRule type="expression" dxfId="1302" priority="49">
      <formula>$AB25&lt;$AB24</formula>
    </cfRule>
  </conditionalFormatting>
  <conditionalFormatting sqref="Y27:AB27">
    <cfRule type="expression" dxfId="1301" priority="48">
      <formula>AND($AB27=$AB28,$Y27&lt;$Y28)</formula>
    </cfRule>
    <cfRule type="expression" dxfId="1300" priority="47">
      <formula>$AB27&gt;$AB28</formula>
    </cfRule>
    <cfRule type="expression" dxfId="1299" priority="46">
      <formula>$AB27&lt;$AB28</formula>
    </cfRule>
  </conditionalFormatting>
  <conditionalFormatting sqref="Y28:AB28">
    <cfRule type="expression" dxfId="1298" priority="45">
      <formula>AND($AB28=$AB27,$Y28&lt;$Y27)</formula>
    </cfRule>
    <cfRule type="expression" dxfId="1297" priority="44">
      <formula>$AB28&gt;$AB27</formula>
    </cfRule>
    <cfRule type="expression" dxfId="1296" priority="43">
      <formula>$AB28&lt;$AB27</formula>
    </cfRule>
  </conditionalFormatting>
  <conditionalFormatting sqref="Y30:AB30">
    <cfRule type="expression" dxfId="1295" priority="42">
      <formula>AND($AB30=$AB31,$Y30&lt;$Y31)</formula>
    </cfRule>
    <cfRule type="expression" dxfId="1294" priority="41">
      <formula>$AB30&gt;$AB31</formula>
    </cfRule>
    <cfRule type="expression" dxfId="1293" priority="40">
      <formula>$AB30&lt;$AB31</formula>
    </cfRule>
  </conditionalFormatting>
  <conditionalFormatting sqref="Y31:AB31">
    <cfRule type="expression" dxfId="1292" priority="39">
      <formula>AND($AB31=$AB30,$Y31&lt;$Y30)</formula>
    </cfRule>
    <cfRule type="expression" dxfId="1291" priority="38">
      <formula>$AB31&gt;$AB30</formula>
    </cfRule>
    <cfRule type="expression" dxfId="1290" priority="37">
      <formula>$AB31&lt;$AB30</formula>
    </cfRule>
  </conditionalFormatting>
  <conditionalFormatting sqref="Y33:AB33">
    <cfRule type="expression" dxfId="1289" priority="36">
      <formula>AND($AB33=$AB34,$Y33&lt;$Y34)</formula>
    </cfRule>
    <cfRule type="expression" dxfId="1288" priority="35">
      <formula>$AB33&gt;$AB34</formula>
    </cfRule>
    <cfRule type="expression" dxfId="1287" priority="34">
      <formula>$AB33&lt;$AB34</formula>
    </cfRule>
  </conditionalFormatting>
  <conditionalFormatting sqref="Y34:AB34">
    <cfRule type="expression" dxfId="1286" priority="33">
      <formula>AND($AB34=$AB33,$Y34&lt;$Y33)</formula>
    </cfRule>
    <cfRule type="expression" dxfId="1285" priority="32">
      <formula>$AB34&gt;$AB33</formula>
    </cfRule>
    <cfRule type="expression" dxfId="1284" priority="31">
      <formula>$AB34&lt;$AB33</formula>
    </cfRule>
  </conditionalFormatting>
  <conditionalFormatting sqref="Y36:AB36">
    <cfRule type="expression" dxfId="1283" priority="30">
      <formula>AND($AB36=$AB37,$Y36&lt;$Y37)</formula>
    </cfRule>
    <cfRule type="expression" dxfId="1282" priority="29">
      <formula>$AB36&gt;$AB37</formula>
    </cfRule>
    <cfRule type="expression" dxfId="1281" priority="28">
      <formula>$AB36&lt;$AB37</formula>
    </cfRule>
  </conditionalFormatting>
  <conditionalFormatting sqref="Y37:AB37">
    <cfRule type="expression" dxfId="1280" priority="25">
      <formula>$AB37&lt;$AB36</formula>
    </cfRule>
    <cfRule type="expression" dxfId="1279" priority="26">
      <formula>$AB37&gt;$AB36</formula>
    </cfRule>
    <cfRule type="expression" dxfId="1278" priority="27">
      <formula>AND($AB37=$AB36,$Y37&lt;$Y36)</formula>
    </cfRule>
  </conditionalFormatting>
  <conditionalFormatting sqref="AD3:AG3 AD12:AG12">
    <cfRule type="expression" dxfId="1277" priority="23">
      <formula>$AG3&gt;$AG4</formula>
    </cfRule>
    <cfRule type="expression" dxfId="1276" priority="24">
      <formula>AND($AG3=$AG4,$AD3&lt;$AD4)</formula>
    </cfRule>
    <cfRule type="expression" dxfId="1275" priority="22">
      <formula>$AG3&lt;$AG4</formula>
    </cfRule>
  </conditionalFormatting>
  <conditionalFormatting sqref="AD4:AG4 AD13:AG13">
    <cfRule type="expression" dxfId="1274" priority="21">
      <formula>AND($AG4=$AG3,$AD4&lt;$AD3)</formula>
    </cfRule>
    <cfRule type="expression" dxfId="1273" priority="20">
      <formula>$AG4&gt;$AG3</formula>
    </cfRule>
    <cfRule type="expression" dxfId="1272" priority="19">
      <formula>$AG4&lt;$AG3</formula>
    </cfRule>
  </conditionalFormatting>
  <conditionalFormatting sqref="AD6:AG6">
    <cfRule type="expression" dxfId="1271" priority="18">
      <formula>AND($AG6=$AG7,$AD6&lt;$AD7)</formula>
    </cfRule>
    <cfRule type="expression" dxfId="1270" priority="17">
      <formula>$AG6&gt;$AG7</formula>
    </cfRule>
    <cfRule type="expression" dxfId="1269" priority="16">
      <formula>$AG6&lt;$AG7</formula>
    </cfRule>
  </conditionalFormatting>
  <conditionalFormatting sqref="AD7:AG7">
    <cfRule type="expression" dxfId="1268" priority="15">
      <formula>AND($AG7=$AG6,$AD7&lt;$AD6)</formula>
    </cfRule>
    <cfRule type="expression" dxfId="1267" priority="14">
      <formula>$AG7&gt;$AG6</formula>
    </cfRule>
    <cfRule type="expression" dxfId="1266" priority="13">
      <formula>$AG7&lt;$AG6</formula>
    </cfRule>
  </conditionalFormatting>
  <conditionalFormatting sqref="AD9:AG9">
    <cfRule type="expression" dxfId="1265" priority="4">
      <formula>$AG9&lt;$AG10</formula>
    </cfRule>
    <cfRule type="expression" dxfId="1264" priority="6">
      <formula>AND($AG9=$AG10,$AD9&lt;$AD10)</formula>
    </cfRule>
    <cfRule type="expression" dxfId="1263" priority="5">
      <formula>$AG9&gt;$AG10</formula>
    </cfRule>
  </conditionalFormatting>
  <conditionalFormatting sqref="AD10:AG10">
    <cfRule type="expression" dxfId="1262" priority="3">
      <formula>AND($AG10=$AG9,$AD10&lt;$AD9)</formula>
    </cfRule>
    <cfRule type="expression" dxfId="1261" priority="1">
      <formula>$AG10&lt;$AG9</formula>
    </cfRule>
    <cfRule type="expression" dxfId="1260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9CFC-2B7E-42BC-AD3E-7AF6442AF5C5}">
  <sheetPr>
    <pageSetUpPr fitToPage="1"/>
  </sheetPr>
  <dimension ref="A1:W33"/>
  <sheetViews>
    <sheetView workbookViewId="0">
      <selection activeCell="G32" sqref="G32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1 Finals'!A1</f>
        <v>Q Pos</v>
      </c>
      <c r="B1" t="str">
        <f>'Round 1 Finals'!B1</f>
        <v>#</v>
      </c>
      <c r="C1" t="str">
        <f>'Round 1 Finals'!C1</f>
        <v>Name</v>
      </c>
      <c r="D1" t="str">
        <f>'Round 1 Finals'!D1</f>
        <v>Score</v>
      </c>
      <c r="F1" t="str">
        <f>'Round 1 Finals'!F1</f>
        <v>Q</v>
      </c>
      <c r="G1" t="str">
        <f>'Round 1 Finals'!G1</f>
        <v>#</v>
      </c>
      <c r="K1" t="str">
        <f>'Round 1 Finals'!K1</f>
        <v>Q</v>
      </c>
      <c r="L1" t="str">
        <f>'Round 1 Finals'!L1</f>
        <v>#</v>
      </c>
      <c r="P1" t="str">
        <f>'Round 1 Finals'!P1</f>
        <v>Q</v>
      </c>
      <c r="Q1" t="str">
        <f>'Round 1 Finals'!Q1</f>
        <v>#</v>
      </c>
      <c r="V1" t="str">
        <f>'Round 1 Finals'!V1</f>
        <v>#</v>
      </c>
    </row>
    <row r="2" spans="1:22" x14ac:dyDescent="0.3">
      <c r="A2" s="1">
        <f>'Round 1 Finals'!A2</f>
        <v>1</v>
      </c>
      <c r="B2" s="1">
        <f>'Round 1 Finals'!B2</f>
        <v>55</v>
      </c>
      <c r="C2" s="1" t="str">
        <f>'Round 1 Finals'!C2</f>
        <v>Oliver Evans</v>
      </c>
      <c r="D2" s="1">
        <f>'Round 1 Finals'!D2</f>
        <v>3</v>
      </c>
      <c r="E2" s="2"/>
    </row>
    <row r="3" spans="1:22" x14ac:dyDescent="0.3">
      <c r="A3" s="3"/>
      <c r="E3" s="2"/>
      <c r="F3" s="1">
        <f>'Round 1 Finals'!F3</f>
        <v>1</v>
      </c>
      <c r="G3" s="1">
        <f>'Round 1 Finals'!G3</f>
        <v>55</v>
      </c>
      <c r="H3" s="1" t="str">
        <f>'Round 1 Finals'!H3</f>
        <v>Oliver Evans</v>
      </c>
      <c r="I3" s="1">
        <f>'Round 1 Finals'!I3</f>
        <v>0</v>
      </c>
      <c r="J3" s="2"/>
    </row>
    <row r="4" spans="1:22" x14ac:dyDescent="0.3">
      <c r="A4" s="1">
        <f>'Round 1 Finals'!A4</f>
        <v>16</v>
      </c>
      <c r="B4" s="1">
        <f>'Round 1 Finals'!B4</f>
        <v>22</v>
      </c>
      <c r="C4" s="1" t="str">
        <f>'Round 1 Finals'!C4</f>
        <v>Joel Conlan</v>
      </c>
      <c r="D4" s="1">
        <f>'Round 1 Finals'!D4</f>
        <v>0</v>
      </c>
      <c r="E4" s="2"/>
      <c r="J4" s="2"/>
    </row>
    <row r="5" spans="1:22" x14ac:dyDescent="0.3">
      <c r="J5" s="2"/>
      <c r="K5" s="1">
        <f>'Round 1 Finals'!K5</f>
        <v>9</v>
      </c>
      <c r="L5" s="1">
        <f>'Round 1 Finals'!L5</f>
        <v>41</v>
      </c>
      <c r="M5" s="1" t="str">
        <f>'Round 1 Finals'!M5</f>
        <v>Ian Phillips</v>
      </c>
      <c r="N5" s="1">
        <f>'Round 1 Finals'!N5</f>
        <v>3</v>
      </c>
      <c r="O5" s="2"/>
    </row>
    <row r="6" spans="1:22" x14ac:dyDescent="0.3">
      <c r="A6" s="1">
        <f>'Round 1 Finals'!A6</f>
        <v>8</v>
      </c>
      <c r="B6" s="1">
        <f>'Round 1 Finals'!B6</f>
        <v>366</v>
      </c>
      <c r="C6" s="1" t="str">
        <f>'Round 1 Finals'!C6</f>
        <v>Micheal Bennett</v>
      </c>
      <c r="D6" s="1">
        <f>'Round 1 Finals'!D6</f>
        <v>0</v>
      </c>
      <c r="E6" s="2"/>
      <c r="J6" s="2"/>
      <c r="O6" s="2"/>
    </row>
    <row r="7" spans="1:22" x14ac:dyDescent="0.3">
      <c r="A7" s="3"/>
      <c r="E7" s="2"/>
      <c r="F7" s="1">
        <f>'Round 1 Finals'!F7</f>
        <v>9</v>
      </c>
      <c r="G7" s="1">
        <f>'Round 1 Finals'!G7</f>
        <v>41</v>
      </c>
      <c r="H7" s="1" t="str">
        <f>'Round 1 Finals'!H7</f>
        <v>Ian Phillips</v>
      </c>
      <c r="I7" s="1">
        <f>'Round 1 Finals'!I7</f>
        <v>3</v>
      </c>
      <c r="J7" s="2"/>
      <c r="O7" s="2"/>
    </row>
    <row r="8" spans="1:22" x14ac:dyDescent="0.3">
      <c r="A8" s="1">
        <f>'Round 1 Finals'!A8</f>
        <v>9</v>
      </c>
      <c r="B8" s="1">
        <f>'Round 1 Finals'!B8</f>
        <v>41</v>
      </c>
      <c r="C8" s="1" t="str">
        <f>'Round 1 Finals'!C8</f>
        <v>Ian Phillips</v>
      </c>
      <c r="D8" s="1">
        <f>'Round 1 Finals'!D8</f>
        <v>3</v>
      </c>
      <c r="E8" s="2"/>
      <c r="O8" s="2"/>
    </row>
    <row r="9" spans="1:22" x14ac:dyDescent="0.3">
      <c r="O9" s="2"/>
      <c r="P9" s="1">
        <f>'Round 1 Finals'!P9</f>
        <v>9</v>
      </c>
      <c r="Q9" s="1">
        <f>'Round 1 Finals'!Q9</f>
        <v>41</v>
      </c>
      <c r="R9" s="1" t="str">
        <f>'Round 1 Finals'!R9</f>
        <v>Ian Phillips</v>
      </c>
      <c r="S9" s="1">
        <f>'Round 1 Finals'!S9</f>
        <v>3</v>
      </c>
      <c r="T9" s="2"/>
    </row>
    <row r="10" spans="1:22" x14ac:dyDescent="0.3">
      <c r="A10" s="1">
        <f>'Round 1 Finals'!A10</f>
        <v>4</v>
      </c>
      <c r="B10" s="1">
        <f>'Round 1 Finals'!B10</f>
        <v>86</v>
      </c>
      <c r="C10" s="1" t="str">
        <f>'Round 1 Finals'!C10</f>
        <v>David Bastin</v>
      </c>
      <c r="D10" s="1">
        <f>'Round 1 Finals'!D10</f>
        <v>3</v>
      </c>
      <c r="E10" s="2"/>
      <c r="O10" s="2"/>
      <c r="T10" s="2"/>
    </row>
    <row r="11" spans="1:22" x14ac:dyDescent="0.3">
      <c r="A11" s="3"/>
      <c r="E11" s="2"/>
      <c r="F11" s="1">
        <f>'Round 1 Finals'!F11</f>
        <v>4</v>
      </c>
      <c r="G11" s="1">
        <f>'Round 1 Finals'!G11</f>
        <v>86</v>
      </c>
      <c r="H11" s="1" t="str">
        <f>'Round 1 Finals'!H11</f>
        <v>David Bastin</v>
      </c>
      <c r="I11" s="1">
        <f>'Round 1 Finals'!I11</f>
        <v>3</v>
      </c>
      <c r="J11" s="2"/>
      <c r="O11" s="2"/>
      <c r="T11" s="2"/>
    </row>
    <row r="12" spans="1:22" x14ac:dyDescent="0.3">
      <c r="A12" s="1">
        <f>'Round 1 Finals'!A12</f>
        <v>13</v>
      </c>
      <c r="B12" s="1">
        <f>'Round 1 Finals'!B12</f>
        <v>112</v>
      </c>
      <c r="C12" s="1" t="str">
        <f>'Round 1 Finals'!C12</f>
        <v>Nathan Chivers</v>
      </c>
      <c r="D12" s="1">
        <f>'Round 1 Finals'!D12</f>
        <v>0</v>
      </c>
      <c r="E12" s="2"/>
      <c r="J12" s="2"/>
      <c r="O12" s="2"/>
      <c r="T12" s="2"/>
    </row>
    <row r="13" spans="1:22" x14ac:dyDescent="0.3">
      <c r="J13" s="2"/>
      <c r="K13" s="1">
        <f>'Round 1 Finals'!K13</f>
        <v>4</v>
      </c>
      <c r="L13" s="1">
        <f>'Round 1 Finals'!L13</f>
        <v>86</v>
      </c>
      <c r="M13" s="1" t="str">
        <f>'Round 1 Finals'!M13</f>
        <v>David Bastin</v>
      </c>
      <c r="N13" s="1">
        <f>'Round 1 Finals'!N13</f>
        <v>0</v>
      </c>
      <c r="O13" s="2"/>
      <c r="T13" s="2"/>
    </row>
    <row r="14" spans="1:22" x14ac:dyDescent="0.3">
      <c r="A14" s="1">
        <f>'Round 1 Finals'!A14</f>
        <v>5</v>
      </c>
      <c r="B14" s="1">
        <f>'Round 1 Finals'!B14</f>
        <v>93</v>
      </c>
      <c r="C14" s="1" t="str">
        <f>'Round 1 Finals'!C14</f>
        <v>Josh King</v>
      </c>
      <c r="D14" s="1">
        <f>'Round 1 Finals'!D14</f>
        <v>1</v>
      </c>
      <c r="E14" s="2"/>
      <c r="J14" s="2"/>
      <c r="T14" s="2"/>
    </row>
    <row r="15" spans="1:22" x14ac:dyDescent="0.3">
      <c r="A15" s="3"/>
      <c r="E15" s="2"/>
      <c r="F15" s="1">
        <f>'Round 1 Finals'!F15</f>
        <v>12</v>
      </c>
      <c r="G15" s="1">
        <f>'Round 1 Finals'!G15</f>
        <v>26</v>
      </c>
      <c r="H15" s="1" t="str">
        <f>'Round 1 Finals'!H15</f>
        <v>Haydn Cruickshank</v>
      </c>
      <c r="I15" s="1">
        <f>'Round 1 Finals'!I15</f>
        <v>0</v>
      </c>
      <c r="J15" s="2"/>
      <c r="T15" s="2"/>
    </row>
    <row r="16" spans="1:22" x14ac:dyDescent="0.3">
      <c r="A16" s="1">
        <f>'Round 1 Finals'!A16</f>
        <v>12</v>
      </c>
      <c r="B16" s="1">
        <f>'Round 1 Finals'!B16</f>
        <v>26</v>
      </c>
      <c r="C16" s="1" t="str">
        <f>'Round 1 Finals'!C16</f>
        <v>Haydn Cruickshank</v>
      </c>
      <c r="D16" s="1">
        <f>'Round 1 Finals'!D16</f>
        <v>2</v>
      </c>
      <c r="E16" s="2"/>
      <c r="T16" s="2"/>
    </row>
    <row r="17" spans="1:23" x14ac:dyDescent="0.3">
      <c r="T17" s="2"/>
      <c r="U17" s="5">
        <f>'Round 1 Finals'!U17</f>
        <v>9</v>
      </c>
      <c r="V17" s="5">
        <f>'Round 1 Finals'!V17</f>
        <v>41</v>
      </c>
      <c r="W17" s="5" t="str">
        <f>'Round 1 Finals'!W17</f>
        <v>Ian Phillips</v>
      </c>
    </row>
    <row r="18" spans="1:23" x14ac:dyDescent="0.3">
      <c r="A18" s="1">
        <f>'Round 1 Finals'!A18</f>
        <v>2</v>
      </c>
      <c r="B18" s="1">
        <f>'Round 1 Finals'!B18</f>
        <v>61</v>
      </c>
      <c r="C18" s="1" t="str">
        <f>'Round 1 Finals'!C18</f>
        <v>Martin Richards</v>
      </c>
      <c r="D18" s="1">
        <f>'Round 1 Finals'!D18</f>
        <v>3</v>
      </c>
      <c r="E18" s="2"/>
      <c r="T18" s="2"/>
    </row>
    <row r="19" spans="1:23" x14ac:dyDescent="0.3">
      <c r="A19" s="3"/>
      <c r="E19" s="2"/>
      <c r="F19" s="1">
        <f>'Round 1 Finals'!F19</f>
        <v>2</v>
      </c>
      <c r="G19" s="1">
        <f>'Round 1 Finals'!G19</f>
        <v>61</v>
      </c>
      <c r="H19" s="1" t="str">
        <f>'Round 1 Finals'!H19</f>
        <v>Martin Richards</v>
      </c>
      <c r="I19" s="1">
        <f>'Round 1 Finals'!I19</f>
        <v>3</v>
      </c>
      <c r="J19" s="2"/>
      <c r="T19" s="2"/>
    </row>
    <row r="20" spans="1:23" x14ac:dyDescent="0.3">
      <c r="A20" s="1">
        <f>'Round 1 Finals'!A20</f>
        <v>15</v>
      </c>
      <c r="B20" s="1">
        <f>'Round 1 Finals'!B20</f>
        <v>18</v>
      </c>
      <c r="C20" s="1" t="str">
        <f>'Round 1 Finals'!C20</f>
        <v>Matthew Denham</v>
      </c>
      <c r="D20" s="1">
        <f>'Round 1 Finals'!D20</f>
        <v>0</v>
      </c>
      <c r="E20" s="2"/>
      <c r="J20" s="2"/>
      <c r="T20" s="2"/>
    </row>
    <row r="21" spans="1:23" x14ac:dyDescent="0.3">
      <c r="J21" s="2"/>
      <c r="K21" s="1">
        <f>'Round 1 Finals'!K21</f>
        <v>2</v>
      </c>
      <c r="L21" s="1">
        <f>'Round 1 Finals'!L21</f>
        <v>61</v>
      </c>
      <c r="M21" s="1" t="str">
        <f>'Round 1 Finals'!M21</f>
        <v>Martin Richards</v>
      </c>
      <c r="N21" s="1">
        <f>'Round 1 Finals'!N21</f>
        <v>3</v>
      </c>
      <c r="O21" s="2"/>
      <c r="T21" s="2"/>
    </row>
    <row r="22" spans="1:23" x14ac:dyDescent="0.3">
      <c r="A22" s="1">
        <f>'Round 1 Finals'!A22</f>
        <v>7</v>
      </c>
      <c r="B22" s="1">
        <f>'Round 1 Finals'!B22</f>
        <v>128</v>
      </c>
      <c r="C22" s="1" t="str">
        <f>'Round 1 Finals'!C22</f>
        <v>Lwi Edwards</v>
      </c>
      <c r="D22" s="1">
        <f>'Round 1 Finals'!D22</f>
        <v>3</v>
      </c>
      <c r="E22" s="2"/>
      <c r="J22" s="2"/>
      <c r="O22" s="2"/>
      <c r="T22" s="2"/>
    </row>
    <row r="23" spans="1:23" x14ac:dyDescent="0.3">
      <c r="A23" s="3"/>
      <c r="E23" s="2"/>
      <c r="F23" s="1">
        <f>'Round 1 Finals'!F23</f>
        <v>7</v>
      </c>
      <c r="G23" s="1">
        <f>'Round 1 Finals'!G23</f>
        <v>128</v>
      </c>
      <c r="H23" s="1" t="str">
        <f>'Round 1 Finals'!H23</f>
        <v>Lwi Edwards</v>
      </c>
      <c r="I23" s="1">
        <f>'Round 1 Finals'!I23</f>
        <v>0</v>
      </c>
      <c r="J23" s="2"/>
      <c r="O23" s="2"/>
      <c r="T23" s="2"/>
    </row>
    <row r="24" spans="1:23" x14ac:dyDescent="0.3">
      <c r="A24" s="1">
        <f>'Round 1 Finals'!A24</f>
        <v>10</v>
      </c>
      <c r="B24" s="1">
        <f>'Round 1 Finals'!B24</f>
        <v>66</v>
      </c>
      <c r="C24" s="1" t="str">
        <f>'Round 1 Finals'!C24</f>
        <v>Andy Frost</v>
      </c>
      <c r="D24" s="1">
        <f>'Round 1 Finals'!D24</f>
        <v>0</v>
      </c>
      <c r="E24" s="2"/>
      <c r="O24" s="2"/>
      <c r="T24" s="2"/>
    </row>
    <row r="25" spans="1:23" x14ac:dyDescent="0.3">
      <c r="O25" s="2"/>
      <c r="P25" s="1">
        <f>'Round 1 Finals'!P25</f>
        <v>2</v>
      </c>
      <c r="Q25" s="1">
        <f>'Round 1 Finals'!Q25</f>
        <v>61</v>
      </c>
      <c r="R25" s="1" t="str">
        <f>'Round 1 Finals'!R25</f>
        <v>Martin Richards</v>
      </c>
      <c r="S25" s="1">
        <f>'Round 1 Finals'!S25</f>
        <v>0</v>
      </c>
      <c r="T25" s="2"/>
    </row>
    <row r="26" spans="1:23" x14ac:dyDescent="0.3">
      <c r="A26" s="1">
        <f>'Round 1 Finals'!A26</f>
        <v>3</v>
      </c>
      <c r="B26" s="1">
        <f>'Round 1 Finals'!B26</f>
        <v>94</v>
      </c>
      <c r="C26" s="1" t="str">
        <f>'Round 1 Finals'!C26</f>
        <v>Paul Cunnington</v>
      </c>
      <c r="D26" s="1">
        <f>'Round 1 Finals'!D26</f>
        <v>3</v>
      </c>
      <c r="E26" s="2"/>
      <c r="O26" s="2"/>
    </row>
    <row r="27" spans="1:23" x14ac:dyDescent="0.3">
      <c r="A27" s="3"/>
      <c r="E27" s="2"/>
      <c r="F27" s="1">
        <f>'Round 1 Finals'!F27</f>
        <v>3</v>
      </c>
      <c r="G27" s="1">
        <f>'Round 1 Finals'!G27</f>
        <v>94</v>
      </c>
      <c r="H27" s="1" t="str">
        <f>'Round 1 Finals'!H27</f>
        <v>Paul Cunnington</v>
      </c>
      <c r="I27" s="1">
        <f>'Round 1 Finals'!I27</f>
        <v>3</v>
      </c>
      <c r="J27" s="2"/>
      <c r="O27" s="2"/>
    </row>
    <row r="28" spans="1:23" x14ac:dyDescent="0.3">
      <c r="A28" s="1">
        <f>'Round 1 Finals'!A28</f>
        <v>14</v>
      </c>
      <c r="B28" s="1">
        <f>'Round 1 Finals'!B28</f>
        <v>39</v>
      </c>
      <c r="C28" s="1" t="str">
        <f>'Round 1 Finals'!C28</f>
        <v>Paul Beechey</v>
      </c>
      <c r="D28" s="1">
        <f>'Round 1 Finals'!D28</f>
        <v>0</v>
      </c>
      <c r="E28" s="2"/>
      <c r="J28" s="2"/>
      <c r="O28" s="2"/>
    </row>
    <row r="29" spans="1:23" x14ac:dyDescent="0.3">
      <c r="J29" s="2"/>
      <c r="K29" s="1">
        <f>'Round 1 Finals'!K29</f>
        <v>3</v>
      </c>
      <c r="L29" s="1">
        <f>'Round 1 Finals'!L29</f>
        <v>94</v>
      </c>
      <c r="M29" s="1" t="str">
        <f>'Round 1 Finals'!M29</f>
        <v>Paul Cunnington</v>
      </c>
      <c r="N29" s="1">
        <f>'Round 1 Finals'!N29</f>
        <v>0</v>
      </c>
      <c r="O29" s="2"/>
    </row>
    <row r="30" spans="1:23" x14ac:dyDescent="0.3">
      <c r="A30" s="1">
        <f>'Round 1 Finals'!A30</f>
        <v>6</v>
      </c>
      <c r="B30" s="1">
        <f>'Round 1 Finals'!B30</f>
        <v>147</v>
      </c>
      <c r="C30" s="1" t="str">
        <f>'Round 1 Finals'!C30</f>
        <v>Richie Gilbey</v>
      </c>
      <c r="D30" s="1">
        <f>'Round 1 Finals'!D30</f>
        <v>0</v>
      </c>
      <c r="E30" s="2"/>
      <c r="J30" s="2"/>
    </row>
    <row r="31" spans="1:23" x14ac:dyDescent="0.3">
      <c r="A31" s="3"/>
      <c r="E31" s="2"/>
      <c r="F31" s="1">
        <f>'Round 1 Finals'!F31</f>
        <v>11</v>
      </c>
      <c r="G31" s="1">
        <f>'Round 1 Finals'!G31</f>
        <v>420</v>
      </c>
      <c r="H31" s="1" t="str">
        <f>'Round 1 Finals'!H31</f>
        <v>Harry Love</v>
      </c>
      <c r="I31" s="1">
        <f>'Round 1 Finals'!I31</f>
        <v>0</v>
      </c>
      <c r="J31" s="2"/>
      <c r="P31" s="1">
        <f>'Round 1 Finals'!P31</f>
        <v>4</v>
      </c>
      <c r="Q31" s="1">
        <f>'Round 1 Finals'!Q31</f>
        <v>86</v>
      </c>
      <c r="R31" s="1" t="str">
        <f>'Round 1 Finals'!R31</f>
        <v>David Bastin</v>
      </c>
      <c r="S31" s="1">
        <f>'Round 1 Finals'!S31</f>
        <v>0</v>
      </c>
      <c r="T31" s="2"/>
    </row>
    <row r="32" spans="1:23" x14ac:dyDescent="0.3">
      <c r="A32" s="1">
        <f>'Round 1 Finals'!A32</f>
        <v>11</v>
      </c>
      <c r="B32" s="1">
        <f>'Round 1 Finals'!B32</f>
        <v>420</v>
      </c>
      <c r="C32" s="1" t="str">
        <f>'Round 1 Finals'!C32</f>
        <v>Harry Love</v>
      </c>
      <c r="D32" s="1">
        <f>'Round 1 Finals'!D32</f>
        <v>3</v>
      </c>
      <c r="E32" s="2"/>
      <c r="T32" s="2"/>
      <c r="U32" s="1"/>
      <c r="V32" s="1">
        <f>'Round 1 Finals'!V32</f>
        <v>94</v>
      </c>
      <c r="W32" s="1" t="str">
        <f>'Round 1 Finals'!W32</f>
        <v>Paul Cunnington</v>
      </c>
    </row>
    <row r="33" spans="16:20" x14ac:dyDescent="0.3">
      <c r="P33" s="1">
        <f>'Round 1 Finals'!P33</f>
        <v>3</v>
      </c>
      <c r="Q33" s="1">
        <f>'Round 1 Finals'!Q33</f>
        <v>94</v>
      </c>
      <c r="R33" s="1" t="str">
        <f>'Round 1 Finals'!R33</f>
        <v>Paul Cunnington</v>
      </c>
      <c r="S33" s="1">
        <f>'Round 1 Finals'!S33</f>
        <v>3</v>
      </c>
      <c r="T33" s="2"/>
    </row>
  </sheetData>
  <sheetProtection sheet="1" objects="1" scenarios="1"/>
  <conditionalFormatting sqref="A2:D2">
    <cfRule type="expression" dxfId="1259" priority="39">
      <formula>AND($D2=$D4,$A2&lt;$A4)</formula>
    </cfRule>
    <cfRule type="expression" dxfId="1258" priority="42">
      <formula>$D2&gt;$D4</formula>
    </cfRule>
    <cfRule type="expression" dxfId="1257" priority="40">
      <formula>$D2&lt;$D4</formula>
    </cfRule>
  </conditionalFormatting>
  <conditionalFormatting sqref="A4:D4">
    <cfRule type="expression" dxfId="1256" priority="38">
      <formula>$D4&lt;$D2</formula>
    </cfRule>
    <cfRule type="expression" dxfId="1255" priority="37">
      <formula>AND($D4=$D2,$A4&lt;$A2)</formula>
    </cfRule>
    <cfRule type="expression" dxfId="1254" priority="41">
      <formula>$D4&gt;$D2</formula>
    </cfRule>
  </conditionalFormatting>
  <conditionalFormatting sqref="A6:D6 A10:D10 A14:D14 A18:D18 A22:D22 A26:D26 A30:D30">
    <cfRule type="expression" dxfId="1253" priority="11">
      <formula>$D6&lt;$D8</formula>
    </cfRule>
    <cfRule type="expression" dxfId="1252" priority="10">
      <formula>AND($D6=$D8,$A6&lt;$A8)</formula>
    </cfRule>
    <cfRule type="expression" dxfId="1251" priority="12">
      <formula>$D6&gt;$D8</formula>
    </cfRule>
  </conditionalFormatting>
  <conditionalFormatting sqref="A8:D8 A12:D12 A16:D16 A20:D20 A24:D24 A28:D28 A32:D32">
    <cfRule type="expression" dxfId="1250" priority="7">
      <formula>AND($D8=$D6,$A8&lt;$A6)</formula>
    </cfRule>
    <cfRule type="expression" dxfId="1249" priority="8">
      <formula>$D8&lt;$D6</formula>
    </cfRule>
    <cfRule type="expression" dxfId="1248" priority="9">
      <formula>$D8&gt;$D6</formula>
    </cfRule>
  </conditionalFormatting>
  <conditionalFormatting sqref="F3:I3">
    <cfRule type="expression" dxfId="1247" priority="36">
      <formula>$I3&gt;$I7</formula>
    </cfRule>
    <cfRule type="expression" dxfId="1246" priority="35">
      <formula>$I3&lt;$I7</formula>
    </cfRule>
    <cfRule type="expression" dxfId="1245" priority="34">
      <formula>AND($I3=$I7,$F3&lt;$F7)</formula>
    </cfRule>
  </conditionalFormatting>
  <conditionalFormatting sqref="F7:I7">
    <cfRule type="expression" dxfId="1244" priority="30">
      <formula>$I7&gt;$I3</formula>
    </cfRule>
    <cfRule type="expression" dxfId="1243" priority="29">
      <formula>$I7&lt;$I3</formula>
    </cfRule>
    <cfRule type="expression" dxfId="1242" priority="28">
      <formula>AND($I7=$I3,$F7&lt;$F3)</formula>
    </cfRule>
  </conditionalFormatting>
  <conditionalFormatting sqref="F11:I11 F19:I19 F27:I27">
    <cfRule type="expression" dxfId="1241" priority="33">
      <formula>$I11&gt;$I15</formula>
    </cfRule>
    <cfRule type="expression" dxfId="1240" priority="31">
      <formula>AND($I11=$I15,$F11&lt;$F15)</formula>
    </cfRule>
    <cfRule type="expression" dxfId="1239" priority="32">
      <formula>$I11&lt;$I15</formula>
    </cfRule>
  </conditionalFormatting>
  <conditionalFormatting sqref="F15:I15 F23:I23 F31:I31">
    <cfRule type="expression" dxfId="1238" priority="27">
      <formula>$I15&gt;$I11</formula>
    </cfRule>
    <cfRule type="expression" dxfId="1237" priority="26">
      <formula>$I15&lt;$I11</formula>
    </cfRule>
    <cfRule type="expression" dxfId="1236" priority="25">
      <formula>AND($I15=$I11,$F15&lt;$F11)</formula>
    </cfRule>
  </conditionalFormatting>
  <conditionalFormatting sqref="K5:N5">
    <cfRule type="expression" dxfId="1235" priority="22">
      <formula>AND($N5=$N13,$K5&lt;$K13)</formula>
    </cfRule>
    <cfRule type="expression" dxfId="1234" priority="23">
      <formula>$N5&lt;$N13</formula>
    </cfRule>
    <cfRule type="expression" dxfId="1233" priority="24">
      <formula>$N5&gt;$N13</formula>
    </cfRule>
  </conditionalFormatting>
  <conditionalFormatting sqref="K13:N13">
    <cfRule type="expression" dxfId="1232" priority="18">
      <formula>$N13&gt;$N5</formula>
    </cfRule>
    <cfRule type="expression" dxfId="1231" priority="16">
      <formula>AND($N13=$N5,$K13&lt;$K5)</formula>
    </cfRule>
    <cfRule type="expression" dxfId="1230" priority="17">
      <formula>$N13&lt;$N5</formula>
    </cfRule>
  </conditionalFormatting>
  <conditionalFormatting sqref="K21:N21">
    <cfRule type="expression" dxfId="1229" priority="19">
      <formula>AND($N21=$N29,$K21&lt;$K29)</formula>
    </cfRule>
    <cfRule type="expression" dxfId="1228" priority="21">
      <formula>$N21&gt;$N29</formula>
    </cfRule>
    <cfRule type="expression" dxfId="1227" priority="20">
      <formula>$N21&lt;$N29</formula>
    </cfRule>
  </conditionalFormatting>
  <conditionalFormatting sqref="K29:N29">
    <cfRule type="expression" dxfId="1226" priority="15">
      <formula>$N29&gt;$N21</formula>
    </cfRule>
    <cfRule type="expression" dxfId="1225" priority="14">
      <formula>$N29&lt;$N21</formula>
    </cfRule>
    <cfRule type="expression" dxfId="1224" priority="13">
      <formula>AND($N29=$N21,$K29&lt;$K21)</formula>
    </cfRule>
  </conditionalFormatting>
  <conditionalFormatting sqref="P9:S9">
    <cfRule type="expression" dxfId="1223" priority="5">
      <formula>$S9&lt;$S25</formula>
    </cfRule>
    <cfRule type="expression" dxfId="1222" priority="4">
      <formula>AND($S9=$S25,$P9&lt;$P25)</formula>
    </cfRule>
    <cfRule type="expression" dxfId="1221" priority="6">
      <formula>$S9&gt;$S25</formula>
    </cfRule>
  </conditionalFormatting>
  <conditionalFormatting sqref="P25:S25">
    <cfRule type="expression" dxfId="1220" priority="1">
      <formula>AND($S25=$S9,$P25&lt;$P9)</formula>
    </cfRule>
    <cfRule type="expression" dxfId="1219" priority="3">
      <formula>$S25&gt;$S9</formula>
    </cfRule>
    <cfRule type="expression" dxfId="1218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F6AF-7F5D-478A-BD9D-1544D8C633B5}">
  <dimension ref="A1:AO27"/>
  <sheetViews>
    <sheetView zoomScale="125" workbookViewId="0">
      <selection activeCell="B9" sqref="B9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2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>
        <f>VLOOKUP('Round 2'!$A3,INDEX(Entry!$E$2:$U$23,1,'Round 2'!$A$1*2-1):'Entry'!$U$33,18-$A$1*2,0)</f>
        <v>22</v>
      </c>
      <c r="C3" t="str">
        <f>VLOOKUP('Round 2'!$A3,INDEX(Entry!$E$2:$U$23,1,'Round 2'!$A$1*2-1):'Entry'!$U$33,19-$A$1*2,0)</f>
        <v>Joel Conlan</v>
      </c>
      <c r="D3" s="6" t="s">
        <v>106</v>
      </c>
      <c r="H3">
        <f>ROUND(IFERROR(AVERAGE(E3:G3),0),2)</f>
        <v>0</v>
      </c>
      <c r="L3">
        <f t="shared" ref="L3:L27" si="0">ROUND(IFERROR(AVERAGE(I3:K3),0),2)</f>
        <v>0</v>
      </c>
      <c r="M3">
        <f t="shared" ref="M3:M27" si="1">MAX(H3,L3)</f>
        <v>0</v>
      </c>
      <c r="N3">
        <f>IF(H3=M3,L3,H3)</f>
        <v>0</v>
      </c>
      <c r="O3">
        <f>IFERROR(M3+N3/1000+((1000-B3)/1000000),0)</f>
        <v>9.7799999999999992E-4</v>
      </c>
      <c r="P3">
        <f>RANK(O3,$O$3:$O$27,0)</f>
        <v>14</v>
      </c>
      <c r="R3">
        <f>B3</f>
        <v>22</v>
      </c>
      <c r="S3" t="str">
        <f>C3</f>
        <v>Joel Conlan</v>
      </c>
      <c r="T3">
        <f>Table27[[#This Row],[Max]]</f>
        <v>0</v>
      </c>
      <c r="U3">
        <f>Table27[[#This Row],[Min]]</f>
        <v>0</v>
      </c>
      <c r="X3">
        <f>Table16[[#This Row],[Column1]]</f>
        <v>1</v>
      </c>
      <c r="Y3">
        <v>1</v>
      </c>
      <c r="Z3">
        <f t="shared" ref="Z3:Z27" si="2">VLOOKUP(Y3,$P$3:$U$27,3,0)</f>
        <v>93</v>
      </c>
      <c r="AA3" t="str">
        <f t="shared" ref="AA3:AA21" si="3">VLOOKUP(Y3,$P$3:$U$27,4,0)</f>
        <v>Josh King</v>
      </c>
      <c r="AB3">
        <f t="shared" ref="AB3:AB21" si="4">VLOOKUP(Y3,$P$3:$U$27,5,0)</f>
        <v>94.67</v>
      </c>
      <c r="AC3">
        <f t="shared" ref="AC3:AC21" si="5">VLOOKUP(Y3,$P$3:$U$27,6,0)</f>
        <v>87.33</v>
      </c>
      <c r="AD3">
        <f>VLOOKUP(Table16[[#This Row],['#]],Table27[['#]:[Drop]],16,0)</f>
        <v>0</v>
      </c>
      <c r="AE3">
        <f>COUNTIF($AD$3:AD3,"X")</f>
        <v>0</v>
      </c>
      <c r="AF3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</v>
      </c>
      <c r="AG3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3">
        <v>1</v>
      </c>
      <c r="AJ3">
        <f>VLOOKUP(AI3,$X$3:$AA$27,3,0)</f>
        <v>93</v>
      </c>
      <c r="AK3" t="str">
        <f>VLOOKUP(AI3,$X$3:$AA$27,4,0)</f>
        <v>Josh King</v>
      </c>
      <c r="AM3" s="1">
        <v>1</v>
      </c>
      <c r="AN3" s="1">
        <f>VLOOKUP(AM3,$AI$3:$AL$18,2,0)</f>
        <v>93</v>
      </c>
      <c r="AO3" s="1" t="str">
        <f>VLOOKUP(AM3,$AI$3:$AL$18,3,0)</f>
        <v>Josh King</v>
      </c>
    </row>
    <row r="4" spans="1:41" x14ac:dyDescent="0.3">
      <c r="A4">
        <v>2</v>
      </c>
      <c r="B4">
        <f>VLOOKUP('Round 2'!$A4,INDEX(Entry!$E$2:$U$23,1,'Round 2'!$A$1*2-1):'Entry'!$U$33,18-$A$1*2,0)</f>
        <v>26</v>
      </c>
      <c r="C4" t="str">
        <f>VLOOKUP('Round 2'!$A4,INDEX(Entry!$E$2:$U$23,1,'Round 2'!$A$1*2-1):'Entry'!$U$33,19-$A$1*2,0)</f>
        <v>Haydn Cruickshank</v>
      </c>
      <c r="D4" s="6" t="s">
        <v>106</v>
      </c>
      <c r="E4" s="6">
        <v>78</v>
      </c>
      <c r="F4" s="6">
        <v>80</v>
      </c>
      <c r="G4" s="6">
        <v>79</v>
      </c>
      <c r="H4">
        <f t="shared" ref="H4:H27" si="6">ROUND(IFERROR(AVERAGE(E4:G4),0),2)</f>
        <v>79</v>
      </c>
      <c r="I4" s="6">
        <v>85</v>
      </c>
      <c r="J4" s="6">
        <v>82</v>
      </c>
      <c r="K4" s="6">
        <v>82</v>
      </c>
      <c r="L4">
        <f t="shared" si="0"/>
        <v>83</v>
      </c>
      <c r="M4">
        <f t="shared" si="1"/>
        <v>83</v>
      </c>
      <c r="N4">
        <f t="shared" ref="N4:N27" si="7">IF(H4=M4,L4,H4)</f>
        <v>79</v>
      </c>
      <c r="O4">
        <f t="shared" ref="O4:O27" si="8">IFERROR(M4+N4/1000+((1000-B4)/1000000),0)</f>
        <v>83.079973999999993</v>
      </c>
      <c r="P4">
        <f t="shared" ref="P4:P27" si="9">RANK(O4,$O$3:$O$27,0)</f>
        <v>9</v>
      </c>
      <c r="R4">
        <f t="shared" ref="R4:S27" si="10">B4</f>
        <v>26</v>
      </c>
      <c r="S4" t="str">
        <f t="shared" si="10"/>
        <v>Haydn Cruickshank</v>
      </c>
      <c r="T4">
        <f>Table27[[#This Row],[Max]]</f>
        <v>83</v>
      </c>
      <c r="U4">
        <f>Table27[[#This Row],[Min]]</f>
        <v>79</v>
      </c>
      <c r="X4">
        <f>Table16[[#This Row],[Column1]]</f>
        <v>2</v>
      </c>
      <c r="Y4">
        <v>2</v>
      </c>
      <c r="Z4">
        <f t="shared" si="2"/>
        <v>128</v>
      </c>
      <c r="AA4" t="str">
        <f t="shared" si="3"/>
        <v>Lwi Edwards</v>
      </c>
      <c r="AB4">
        <f t="shared" si="4"/>
        <v>93.67</v>
      </c>
      <c r="AC4">
        <f t="shared" si="5"/>
        <v>92.33</v>
      </c>
      <c r="AD4">
        <f>VLOOKUP(Table16[[#This Row],['#]],Table27[['#]:[Drop]],16,0)</f>
        <v>0</v>
      </c>
      <c r="AE4">
        <f>COUNTIF($AD$3:AD4,"X")</f>
        <v>0</v>
      </c>
      <c r="AF4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2</v>
      </c>
      <c r="AG4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4">
        <v>2</v>
      </c>
      <c r="AJ4">
        <f t="shared" ref="AJ4:AJ18" si="11">VLOOKUP(AI4,$X$3:$AA$27,3,0)</f>
        <v>128</v>
      </c>
      <c r="AK4" t="str">
        <f t="shared" ref="AK4:AK18" si="12">VLOOKUP(AI4,$X$3:$AA$27,4,0)</f>
        <v>Lwi Edwards</v>
      </c>
      <c r="AM4" s="1">
        <v>16</v>
      </c>
      <c r="AN4" s="1">
        <f>VLOOKUP(AM4,$AI$3:$AL$18,2,0)</f>
        <v>265</v>
      </c>
      <c r="AO4" s="1" t="str">
        <f>VLOOKUP(AM4,$AI$3:$AL$18,3,0)</f>
        <v>Axel Hildebrand</v>
      </c>
    </row>
    <row r="5" spans="1:41" x14ac:dyDescent="0.3">
      <c r="A5">
        <v>3</v>
      </c>
      <c r="B5">
        <f>VLOOKUP('Round 2'!$A5,INDEX(Entry!$E$2:$U$23,1,'Round 2'!$A$1*2-1):'Entry'!$U$33,18-$A$1*2,0)</f>
        <v>39</v>
      </c>
      <c r="C5" t="str">
        <f>VLOOKUP('Round 2'!$A5,INDEX(Entry!$E$2:$U$23,1,'Round 2'!$A$1*2-1):'Entry'!$U$33,19-$A$1*2,0)</f>
        <v>Paul Beechey</v>
      </c>
      <c r="D5" s="6" t="s">
        <v>106</v>
      </c>
      <c r="E5" s="6">
        <v>75</v>
      </c>
      <c r="F5" s="6">
        <v>70</v>
      </c>
      <c r="G5" s="6">
        <v>70</v>
      </c>
      <c r="H5">
        <f t="shared" si="6"/>
        <v>71.67</v>
      </c>
      <c r="I5" s="6">
        <v>30</v>
      </c>
      <c r="J5" s="6">
        <v>33</v>
      </c>
      <c r="K5" s="6">
        <v>33</v>
      </c>
      <c r="L5">
        <f t="shared" si="0"/>
        <v>32</v>
      </c>
      <c r="M5">
        <f t="shared" si="1"/>
        <v>71.67</v>
      </c>
      <c r="N5">
        <f t="shared" si="7"/>
        <v>32</v>
      </c>
      <c r="O5">
        <f t="shared" si="8"/>
        <v>71.702961000000002</v>
      </c>
      <c r="P5">
        <f t="shared" si="9"/>
        <v>13</v>
      </c>
      <c r="R5">
        <f t="shared" si="10"/>
        <v>39</v>
      </c>
      <c r="S5" t="str">
        <f t="shared" si="10"/>
        <v>Paul Beechey</v>
      </c>
      <c r="T5">
        <f>Table27[[#This Row],[Max]]</f>
        <v>71.67</v>
      </c>
      <c r="U5">
        <f>Table27[[#This Row],[Min]]</f>
        <v>32</v>
      </c>
      <c r="X5">
        <f>Table16[[#This Row],[Column1]]</f>
        <v>3</v>
      </c>
      <c r="Y5">
        <v>3</v>
      </c>
      <c r="Z5">
        <f t="shared" si="2"/>
        <v>94</v>
      </c>
      <c r="AA5" t="str">
        <f t="shared" si="3"/>
        <v>Paul Cunnington</v>
      </c>
      <c r="AB5">
        <f t="shared" si="4"/>
        <v>91.33</v>
      </c>
      <c r="AC5">
        <f t="shared" si="5"/>
        <v>90</v>
      </c>
      <c r="AD5">
        <f>VLOOKUP(Table16[[#This Row],['#]],Table27[['#]:[Drop]],16,0)</f>
        <v>0</v>
      </c>
      <c r="AE5">
        <f>COUNTIF($AD$3:AD5,"X")</f>
        <v>0</v>
      </c>
      <c r="AF5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3</v>
      </c>
      <c r="AG5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5">
        <v>3</v>
      </c>
      <c r="AJ5">
        <f t="shared" si="11"/>
        <v>94</v>
      </c>
      <c r="AK5" t="str">
        <f t="shared" si="12"/>
        <v>Paul Cunnington</v>
      </c>
    </row>
    <row r="6" spans="1:41" x14ac:dyDescent="0.3">
      <c r="A6">
        <v>4</v>
      </c>
      <c r="B6">
        <f>VLOOKUP('Round 2'!$A6,INDEX(Entry!$E$2:$U$23,1,'Round 2'!$A$1*2-1):'Entry'!$U$33,18-$A$1*2,0)</f>
        <v>41</v>
      </c>
      <c r="C6" t="str">
        <f>VLOOKUP('Round 2'!$A6,INDEX(Entry!$E$2:$U$23,1,'Round 2'!$A$1*2-1):'Entry'!$U$33,19-$A$1*2,0)</f>
        <v>Ian Phillips</v>
      </c>
      <c r="D6" s="6" t="s">
        <v>106</v>
      </c>
      <c r="E6" s="6">
        <v>81</v>
      </c>
      <c r="F6" s="6">
        <v>82</v>
      </c>
      <c r="G6" s="6">
        <v>82</v>
      </c>
      <c r="H6">
        <f t="shared" si="6"/>
        <v>81.67</v>
      </c>
      <c r="I6" s="6">
        <v>87</v>
      </c>
      <c r="J6" s="6">
        <v>88</v>
      </c>
      <c r="K6" s="6">
        <v>91</v>
      </c>
      <c r="L6">
        <f t="shared" si="0"/>
        <v>88.67</v>
      </c>
      <c r="M6">
        <f t="shared" si="1"/>
        <v>88.67</v>
      </c>
      <c r="N6">
        <f t="shared" si="7"/>
        <v>81.67</v>
      </c>
      <c r="O6">
        <f t="shared" si="8"/>
        <v>88.752628999999999</v>
      </c>
      <c r="P6">
        <f t="shared" si="9"/>
        <v>5</v>
      </c>
      <c r="R6">
        <f t="shared" si="10"/>
        <v>41</v>
      </c>
      <c r="S6" t="str">
        <f t="shared" si="10"/>
        <v>Ian Phillips</v>
      </c>
      <c r="T6">
        <f>Table27[[#This Row],[Max]]</f>
        <v>88.67</v>
      </c>
      <c r="U6">
        <f>Table27[[#This Row],[Min]]</f>
        <v>81.67</v>
      </c>
      <c r="X6">
        <f>Table16[[#This Row],[Column1]]</f>
        <v>4</v>
      </c>
      <c r="Y6">
        <v>4</v>
      </c>
      <c r="Z6">
        <f t="shared" si="2"/>
        <v>61</v>
      </c>
      <c r="AA6" t="str">
        <f t="shared" si="3"/>
        <v>Martin Richards</v>
      </c>
      <c r="AB6">
        <f t="shared" si="4"/>
        <v>89</v>
      </c>
      <c r="AC6">
        <f t="shared" si="5"/>
        <v>0</v>
      </c>
      <c r="AD6">
        <f>VLOOKUP(Table16[[#This Row],['#]],Table27[['#]:[Drop]],16,0)</f>
        <v>0</v>
      </c>
      <c r="AE6">
        <f>COUNTIF($AD$3:AD6,"X")</f>
        <v>0</v>
      </c>
      <c r="AF6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4</v>
      </c>
      <c r="AG6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2</v>
      </c>
      <c r="AI6">
        <v>4</v>
      </c>
      <c r="AJ6">
        <f t="shared" si="11"/>
        <v>61</v>
      </c>
      <c r="AK6" t="str">
        <f t="shared" si="12"/>
        <v>Martin Richards</v>
      </c>
      <c r="AM6" s="1">
        <v>8</v>
      </c>
      <c r="AN6" s="1">
        <f>VLOOKUP(AM6,$AI$3:$AL$18,2,0)</f>
        <v>147</v>
      </c>
      <c r="AO6" s="1" t="str">
        <f>VLOOKUP(AM6,$AI$3:$AL$18,3,0)</f>
        <v>Richie Gilbey</v>
      </c>
    </row>
    <row r="7" spans="1:41" x14ac:dyDescent="0.3">
      <c r="A7">
        <v>5</v>
      </c>
      <c r="B7">
        <f>VLOOKUP('Round 2'!$A7,INDEX(Entry!$E$2:$U$23,1,'Round 2'!$A$1*2-1):'Entry'!$U$33,18-$A$1*2,0)</f>
        <v>55</v>
      </c>
      <c r="C7" t="str">
        <f>VLOOKUP('Round 2'!$A7,INDEX(Entry!$E$2:$U$23,1,'Round 2'!$A$1*2-1):'Entry'!$U$33,19-$A$1*2,0)</f>
        <v>Oliver Evans</v>
      </c>
      <c r="D7" s="6" t="s">
        <v>106</v>
      </c>
      <c r="H7">
        <f t="shared" si="6"/>
        <v>0</v>
      </c>
      <c r="L7">
        <f t="shared" si="0"/>
        <v>0</v>
      </c>
      <c r="M7">
        <f t="shared" si="1"/>
        <v>0</v>
      </c>
      <c r="N7">
        <f t="shared" si="7"/>
        <v>0</v>
      </c>
      <c r="O7">
        <f t="shared" si="8"/>
        <v>9.4499999999999998E-4</v>
      </c>
      <c r="P7">
        <f t="shared" si="9"/>
        <v>15</v>
      </c>
      <c r="R7">
        <f t="shared" si="10"/>
        <v>55</v>
      </c>
      <c r="S7" t="str">
        <f t="shared" si="10"/>
        <v>Oliver Evans</v>
      </c>
      <c r="T7">
        <f>Table27[[#This Row],[Max]]</f>
        <v>0</v>
      </c>
      <c r="U7">
        <f>Table27[[#This Row],[Min]]</f>
        <v>0</v>
      </c>
      <c r="X7">
        <f>Table16[[#This Row],[Column1]]</f>
        <v>5</v>
      </c>
      <c r="Y7">
        <v>5</v>
      </c>
      <c r="Z7">
        <f t="shared" si="2"/>
        <v>41</v>
      </c>
      <c r="AA7" t="str">
        <f t="shared" si="3"/>
        <v>Ian Phillips</v>
      </c>
      <c r="AB7">
        <f t="shared" si="4"/>
        <v>88.67</v>
      </c>
      <c r="AC7">
        <f t="shared" si="5"/>
        <v>81.67</v>
      </c>
      <c r="AD7">
        <f>VLOOKUP(Table16[[#This Row],['#]],Table27[['#]:[Drop]],16,0)</f>
        <v>0</v>
      </c>
      <c r="AE7">
        <f>COUNTIF($AD$3:AD7,"X")</f>
        <v>0</v>
      </c>
      <c r="AF7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5</v>
      </c>
      <c r="AG7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7">
        <v>5</v>
      </c>
      <c r="AJ7">
        <f t="shared" si="11"/>
        <v>41</v>
      </c>
      <c r="AK7" t="str">
        <f t="shared" si="12"/>
        <v>Ian Phillips</v>
      </c>
      <c r="AM7" s="1">
        <v>9</v>
      </c>
      <c r="AN7" s="1">
        <f>VLOOKUP(AM7,$AI$3:$AL$18,2,0)</f>
        <v>26</v>
      </c>
      <c r="AO7" s="1" t="str">
        <f>VLOOKUP(AM7,$AI$3:$AL$18,3,0)</f>
        <v>Haydn Cruickshank</v>
      </c>
    </row>
    <row r="8" spans="1:41" x14ac:dyDescent="0.3">
      <c r="A8">
        <v>6</v>
      </c>
      <c r="B8">
        <f>VLOOKUP('Round 2'!$A8,INDEX(Entry!$E$2:$U$23,1,'Round 2'!$A$1*2-1):'Entry'!$U$33,18-$A$1*2,0)</f>
        <v>61</v>
      </c>
      <c r="C8" t="str">
        <f>VLOOKUP('Round 2'!$A8,INDEX(Entry!$E$2:$U$23,1,'Round 2'!$A$1*2-1):'Entry'!$U$33,19-$A$1*2,0)</f>
        <v>Martin Richards</v>
      </c>
      <c r="D8" s="6" t="s">
        <v>106</v>
      </c>
      <c r="E8" s="6">
        <v>88</v>
      </c>
      <c r="F8" s="6">
        <v>90</v>
      </c>
      <c r="G8" s="6">
        <v>89</v>
      </c>
      <c r="H8">
        <f t="shared" si="6"/>
        <v>89</v>
      </c>
      <c r="I8" s="6">
        <v>0</v>
      </c>
      <c r="J8" s="6">
        <v>0</v>
      </c>
      <c r="K8" s="6">
        <v>0</v>
      </c>
      <c r="L8">
        <f t="shared" si="0"/>
        <v>0</v>
      </c>
      <c r="M8">
        <f t="shared" si="1"/>
        <v>89</v>
      </c>
      <c r="N8">
        <f t="shared" si="7"/>
        <v>0</v>
      </c>
      <c r="O8">
        <f t="shared" si="8"/>
        <v>89.000939000000002</v>
      </c>
      <c r="P8">
        <f t="shared" si="9"/>
        <v>4</v>
      </c>
      <c r="R8">
        <f t="shared" si="10"/>
        <v>61</v>
      </c>
      <c r="S8" t="str">
        <f t="shared" si="10"/>
        <v>Martin Richards</v>
      </c>
      <c r="T8">
        <f>Table27[[#This Row],[Max]]</f>
        <v>89</v>
      </c>
      <c r="U8">
        <f>Table27[[#This Row],[Min]]</f>
        <v>0</v>
      </c>
      <c r="X8">
        <f>Table16[[#This Row],[Column1]]</f>
        <v>6</v>
      </c>
      <c r="Y8">
        <v>6</v>
      </c>
      <c r="Z8">
        <f t="shared" si="2"/>
        <v>366</v>
      </c>
      <c r="AA8" t="str">
        <f t="shared" si="3"/>
        <v>Micheal Bennett</v>
      </c>
      <c r="AB8">
        <f t="shared" si="4"/>
        <v>87.33</v>
      </c>
      <c r="AC8">
        <f t="shared" si="5"/>
        <v>76</v>
      </c>
      <c r="AD8">
        <f>VLOOKUP(Table16[[#This Row],['#]],Table27[['#]:[Drop]],16,0)</f>
        <v>0</v>
      </c>
      <c r="AE8">
        <f>COUNTIF($AD$3:AD8,"X")</f>
        <v>0</v>
      </c>
      <c r="AF8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6</v>
      </c>
      <c r="AG8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8">
        <v>6</v>
      </c>
      <c r="AJ8">
        <f t="shared" si="11"/>
        <v>366</v>
      </c>
      <c r="AK8" t="str">
        <f t="shared" si="12"/>
        <v>Micheal Bennett</v>
      </c>
    </row>
    <row r="9" spans="1:41" x14ac:dyDescent="0.3">
      <c r="A9">
        <v>7</v>
      </c>
      <c r="B9">
        <f>VLOOKUP('Round 2'!$A9,INDEX(Entry!$E$2:$U$23,1,'Round 2'!$A$1*2-1):'Entry'!$U$33,18-$A$1*2,0)</f>
        <v>66</v>
      </c>
      <c r="C9" t="str">
        <f>VLOOKUP('Round 2'!$A9,INDEX(Entry!$E$2:$U$23,1,'Round 2'!$A$1*2-1):'Entry'!$U$33,19-$A$1*2,0)</f>
        <v>Andy Frost</v>
      </c>
      <c r="D9" s="6" t="s">
        <v>106</v>
      </c>
      <c r="E9" s="6">
        <v>70</v>
      </c>
      <c r="F9" s="6">
        <v>65</v>
      </c>
      <c r="G9" s="6">
        <v>67</v>
      </c>
      <c r="H9">
        <f t="shared" si="6"/>
        <v>67.33</v>
      </c>
      <c r="I9" s="6">
        <v>82</v>
      </c>
      <c r="J9" s="6">
        <v>81</v>
      </c>
      <c r="K9" s="6">
        <v>80</v>
      </c>
      <c r="L9">
        <f t="shared" si="0"/>
        <v>81</v>
      </c>
      <c r="M9">
        <f t="shared" si="1"/>
        <v>81</v>
      </c>
      <c r="N9">
        <f t="shared" si="7"/>
        <v>67.33</v>
      </c>
      <c r="O9">
        <f t="shared" si="8"/>
        <v>81.068263999999999</v>
      </c>
      <c r="P9">
        <f t="shared" si="9"/>
        <v>10</v>
      </c>
      <c r="R9">
        <f t="shared" si="10"/>
        <v>66</v>
      </c>
      <c r="S9" t="str">
        <f t="shared" si="10"/>
        <v>Andy Frost</v>
      </c>
      <c r="T9">
        <f>Table27[[#This Row],[Max]]</f>
        <v>81</v>
      </c>
      <c r="U9">
        <f>Table27[[#This Row],[Min]]</f>
        <v>67.33</v>
      </c>
      <c r="X9">
        <f>Table16[[#This Row],[Column1]]</f>
        <v>7</v>
      </c>
      <c r="Y9">
        <v>7</v>
      </c>
      <c r="Z9">
        <f t="shared" si="2"/>
        <v>86</v>
      </c>
      <c r="AA9" t="str">
        <f t="shared" si="3"/>
        <v>David Bastin</v>
      </c>
      <c r="AB9">
        <f t="shared" si="4"/>
        <v>87</v>
      </c>
      <c r="AC9">
        <f t="shared" si="5"/>
        <v>72.33</v>
      </c>
      <c r="AD9">
        <f>VLOOKUP(Table16[[#This Row],['#]],Table27[['#]:[Drop]],16,0)</f>
        <v>0</v>
      </c>
      <c r="AE9">
        <f>COUNTIF($AD$3:AD9,"X")</f>
        <v>0</v>
      </c>
      <c r="AF9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7</v>
      </c>
      <c r="AG9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9">
        <v>7</v>
      </c>
      <c r="AJ9">
        <f t="shared" si="11"/>
        <v>86</v>
      </c>
      <c r="AK9" t="str">
        <f t="shared" si="12"/>
        <v>David Bastin</v>
      </c>
      <c r="AM9" s="1">
        <v>4</v>
      </c>
      <c r="AN9" s="1">
        <f>VLOOKUP(AM9,$AI$3:$AL$18,2,0)</f>
        <v>61</v>
      </c>
      <c r="AO9" s="1" t="str">
        <f>VLOOKUP(AM9,$AI$3:$AL$18,3,0)</f>
        <v>Martin Richards</v>
      </c>
    </row>
    <row r="10" spans="1:41" x14ac:dyDescent="0.3">
      <c r="A10">
        <v>8</v>
      </c>
      <c r="B10">
        <f>VLOOKUP('Round 2'!$A10,INDEX(Entry!$E$2:$U$23,1,'Round 2'!$A$1*2-1):'Entry'!$U$33,18-$A$1*2,0)</f>
        <v>86</v>
      </c>
      <c r="C10" t="str">
        <f>VLOOKUP('Round 2'!$A10,INDEX(Entry!$E$2:$U$23,1,'Round 2'!$A$1*2-1):'Entry'!$U$33,19-$A$1*2,0)</f>
        <v>David Bastin</v>
      </c>
      <c r="D10" s="6" t="s">
        <v>106</v>
      </c>
      <c r="E10" s="6">
        <v>73</v>
      </c>
      <c r="F10" s="6">
        <v>72</v>
      </c>
      <c r="G10" s="6">
        <v>72</v>
      </c>
      <c r="H10">
        <f t="shared" si="6"/>
        <v>72.33</v>
      </c>
      <c r="I10" s="6">
        <v>88</v>
      </c>
      <c r="J10" s="6">
        <v>85</v>
      </c>
      <c r="K10" s="6">
        <v>88</v>
      </c>
      <c r="L10">
        <f t="shared" si="0"/>
        <v>87</v>
      </c>
      <c r="M10">
        <f t="shared" si="1"/>
        <v>87</v>
      </c>
      <c r="N10">
        <f t="shared" si="7"/>
        <v>72.33</v>
      </c>
      <c r="O10">
        <f t="shared" si="8"/>
        <v>87.073243999999988</v>
      </c>
      <c r="P10">
        <f t="shared" si="9"/>
        <v>7</v>
      </c>
      <c r="R10">
        <f t="shared" si="10"/>
        <v>86</v>
      </c>
      <c r="S10" t="str">
        <f t="shared" si="10"/>
        <v>David Bastin</v>
      </c>
      <c r="T10">
        <f>Table27[[#This Row],[Max]]</f>
        <v>87</v>
      </c>
      <c r="U10">
        <f>Table27[[#This Row],[Min]]</f>
        <v>72.33</v>
      </c>
      <c r="X10">
        <f>Table16[[#This Row],[Column1]]</f>
        <v>8</v>
      </c>
      <c r="Y10">
        <v>8</v>
      </c>
      <c r="Z10">
        <f t="shared" si="2"/>
        <v>147</v>
      </c>
      <c r="AA10" t="str">
        <f t="shared" si="3"/>
        <v>Richie Gilbey</v>
      </c>
      <c r="AB10">
        <f t="shared" si="4"/>
        <v>84.33</v>
      </c>
      <c r="AC10">
        <f t="shared" si="5"/>
        <v>82.67</v>
      </c>
      <c r="AD10">
        <f>VLOOKUP(Table16[[#This Row],['#]],Table27[['#]:[Drop]],16,0)</f>
        <v>0</v>
      </c>
      <c r="AE10">
        <f>COUNTIF($AD$3:AD10,"X")</f>
        <v>0</v>
      </c>
      <c r="AF10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8</v>
      </c>
      <c r="AG10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10">
        <v>8</v>
      </c>
      <c r="AJ10">
        <f t="shared" si="11"/>
        <v>147</v>
      </c>
      <c r="AK10" t="str">
        <f t="shared" si="12"/>
        <v>Richie Gilbey</v>
      </c>
      <c r="AM10" s="1">
        <v>13</v>
      </c>
      <c r="AN10" s="1">
        <f>VLOOKUP(AM10,$AI$3:$AL$18,2,0)</f>
        <v>39</v>
      </c>
      <c r="AO10" s="1" t="str">
        <f>VLOOKUP(AM10,$AI$3:$AL$18,3,0)</f>
        <v>Paul Beechey</v>
      </c>
    </row>
    <row r="11" spans="1:41" x14ac:dyDescent="0.3">
      <c r="A11">
        <v>9</v>
      </c>
      <c r="B11">
        <f>VLOOKUP('Round 2'!$A11,INDEX(Entry!$E$2:$U$23,1,'Round 2'!$A$1*2-1):'Entry'!$U$33,18-$A$1*2,0)</f>
        <v>93</v>
      </c>
      <c r="C11" t="str">
        <f>VLOOKUP('Round 2'!$A11,INDEX(Entry!$E$2:$U$23,1,'Round 2'!$A$1*2-1):'Entry'!$U$33,19-$A$1*2,0)</f>
        <v>Josh King</v>
      </c>
      <c r="D11" s="6" t="s">
        <v>106</v>
      </c>
      <c r="E11" s="6">
        <v>88</v>
      </c>
      <c r="F11" s="6">
        <v>86</v>
      </c>
      <c r="G11" s="6">
        <v>88</v>
      </c>
      <c r="H11">
        <f t="shared" si="6"/>
        <v>87.33</v>
      </c>
      <c r="I11" s="6">
        <v>91</v>
      </c>
      <c r="J11" s="6">
        <v>97</v>
      </c>
      <c r="K11" s="6">
        <v>96</v>
      </c>
      <c r="L11">
        <f t="shared" si="0"/>
        <v>94.67</v>
      </c>
      <c r="M11">
        <f t="shared" si="1"/>
        <v>94.67</v>
      </c>
      <c r="N11">
        <f t="shared" si="7"/>
        <v>87.33</v>
      </c>
      <c r="O11">
        <f t="shared" si="8"/>
        <v>94.758236999999994</v>
      </c>
      <c r="P11">
        <f t="shared" si="9"/>
        <v>1</v>
      </c>
      <c r="R11">
        <f t="shared" si="10"/>
        <v>93</v>
      </c>
      <c r="S11" t="str">
        <f t="shared" si="10"/>
        <v>Josh King</v>
      </c>
      <c r="T11">
        <f>Table27[[#This Row],[Max]]</f>
        <v>94.67</v>
      </c>
      <c r="U11">
        <f>Table27[[#This Row],[Min]]</f>
        <v>87.33</v>
      </c>
      <c r="X11">
        <f>Table16[[#This Row],[Column1]]</f>
        <v>9</v>
      </c>
      <c r="Y11">
        <v>9</v>
      </c>
      <c r="Z11">
        <f t="shared" si="2"/>
        <v>26</v>
      </c>
      <c r="AA11" t="str">
        <f t="shared" si="3"/>
        <v>Haydn Cruickshank</v>
      </c>
      <c r="AB11">
        <f t="shared" si="4"/>
        <v>83</v>
      </c>
      <c r="AC11">
        <f t="shared" si="5"/>
        <v>79</v>
      </c>
      <c r="AD11">
        <f>VLOOKUP(Table16[[#This Row],['#]],Table27[['#]:[Drop]],16,0)</f>
        <v>0</v>
      </c>
      <c r="AE11">
        <f>COUNTIF($AD$3:AD11,"X")</f>
        <v>0</v>
      </c>
      <c r="AF11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9</v>
      </c>
      <c r="AG11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11">
        <v>9</v>
      </c>
      <c r="AJ11">
        <f t="shared" si="11"/>
        <v>26</v>
      </c>
      <c r="AK11" t="str">
        <f t="shared" si="12"/>
        <v>Haydn Cruickshank</v>
      </c>
    </row>
    <row r="12" spans="1:41" x14ac:dyDescent="0.3">
      <c r="A12">
        <v>10</v>
      </c>
      <c r="B12">
        <f>VLOOKUP('Round 2'!$A12,INDEX(Entry!$E$2:$U$23,1,'Round 2'!$A$1*2-1):'Entry'!$U$33,18-$A$1*2,0)</f>
        <v>94</v>
      </c>
      <c r="C12" t="str">
        <f>VLOOKUP('Round 2'!$A12,INDEX(Entry!$E$2:$U$23,1,'Round 2'!$A$1*2-1):'Entry'!$U$33,19-$A$1*2,0)</f>
        <v>Paul Cunnington</v>
      </c>
      <c r="D12" s="6" t="s">
        <v>106</v>
      </c>
      <c r="E12" s="6">
        <v>89</v>
      </c>
      <c r="F12" s="6">
        <v>91</v>
      </c>
      <c r="G12" s="6">
        <v>90</v>
      </c>
      <c r="H12">
        <f t="shared" si="6"/>
        <v>90</v>
      </c>
      <c r="I12" s="6">
        <v>90</v>
      </c>
      <c r="J12" s="6">
        <v>92</v>
      </c>
      <c r="K12" s="6">
        <v>92</v>
      </c>
      <c r="L12">
        <f t="shared" si="0"/>
        <v>91.33</v>
      </c>
      <c r="M12">
        <f t="shared" si="1"/>
        <v>91.33</v>
      </c>
      <c r="N12">
        <f t="shared" si="7"/>
        <v>90</v>
      </c>
      <c r="O12">
        <f t="shared" si="8"/>
        <v>91.420906000000002</v>
      </c>
      <c r="P12">
        <f t="shared" si="9"/>
        <v>3</v>
      </c>
      <c r="R12">
        <f t="shared" si="10"/>
        <v>94</v>
      </c>
      <c r="S12" t="str">
        <f t="shared" si="10"/>
        <v>Paul Cunnington</v>
      </c>
      <c r="T12">
        <f>Table27[[#This Row],[Max]]</f>
        <v>91.33</v>
      </c>
      <c r="U12">
        <f>Table27[[#This Row],[Min]]</f>
        <v>90</v>
      </c>
      <c r="X12">
        <f>Table16[[#This Row],[Column1]]</f>
        <v>10</v>
      </c>
      <c r="Y12">
        <v>10</v>
      </c>
      <c r="Z12">
        <f t="shared" si="2"/>
        <v>66</v>
      </c>
      <c r="AA12" t="str">
        <f t="shared" si="3"/>
        <v>Andy Frost</v>
      </c>
      <c r="AB12">
        <f t="shared" si="4"/>
        <v>81</v>
      </c>
      <c r="AC12">
        <f t="shared" si="5"/>
        <v>67.33</v>
      </c>
      <c r="AD12">
        <f>VLOOKUP(Table16[[#This Row],['#]],Table27[['#]:[Drop]],16,0)</f>
        <v>0</v>
      </c>
      <c r="AE12">
        <f>COUNTIF($AD$3:AD12,"X")</f>
        <v>0</v>
      </c>
      <c r="AF12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10</v>
      </c>
      <c r="AG12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12">
        <v>10</v>
      </c>
      <c r="AJ12">
        <f t="shared" si="11"/>
        <v>66</v>
      </c>
      <c r="AK12" t="str">
        <f t="shared" si="12"/>
        <v>Andy Frost</v>
      </c>
      <c r="AM12" s="1">
        <v>5</v>
      </c>
      <c r="AN12" s="1">
        <f>VLOOKUP(AM12,$AI$3:$AL$18,2,0)</f>
        <v>41</v>
      </c>
      <c r="AO12" s="1" t="str">
        <f>VLOOKUP(AM12,$AI$3:$AL$18,3,0)</f>
        <v>Ian Phillips</v>
      </c>
    </row>
    <row r="13" spans="1:41" x14ac:dyDescent="0.3">
      <c r="A13">
        <v>11</v>
      </c>
      <c r="B13">
        <f>VLOOKUP('Round 2'!$A13,INDEX(Entry!$E$2:$U$23,1,'Round 2'!$A$1*2-1):'Entry'!$U$33,18-$A$1*2,0)</f>
        <v>112</v>
      </c>
      <c r="C13" t="str">
        <f>VLOOKUP('Round 2'!$A13,INDEX(Entry!$E$2:$U$23,1,'Round 2'!$A$1*2-1):'Entry'!$U$33,19-$A$1*2,0)</f>
        <v>Nathan Chivers</v>
      </c>
      <c r="D13" s="6" t="s">
        <v>106</v>
      </c>
      <c r="E13" s="6">
        <v>77</v>
      </c>
      <c r="F13" s="6">
        <v>69</v>
      </c>
      <c r="G13" s="6">
        <v>73</v>
      </c>
      <c r="H13">
        <f t="shared" si="6"/>
        <v>73</v>
      </c>
      <c r="I13" s="6">
        <v>80</v>
      </c>
      <c r="J13" s="6">
        <v>79</v>
      </c>
      <c r="K13" s="6">
        <v>79</v>
      </c>
      <c r="L13">
        <f t="shared" si="0"/>
        <v>79.33</v>
      </c>
      <c r="M13">
        <f t="shared" si="1"/>
        <v>79.33</v>
      </c>
      <c r="N13">
        <f t="shared" si="7"/>
        <v>73</v>
      </c>
      <c r="O13">
        <f t="shared" si="8"/>
        <v>79.403887999999995</v>
      </c>
      <c r="P13">
        <f t="shared" si="9"/>
        <v>11</v>
      </c>
      <c r="R13">
        <f t="shared" si="10"/>
        <v>112</v>
      </c>
      <c r="S13" t="str">
        <f t="shared" si="10"/>
        <v>Nathan Chivers</v>
      </c>
      <c r="T13">
        <f>Table27[[#This Row],[Max]]</f>
        <v>79.33</v>
      </c>
      <c r="U13">
        <f>Table27[[#This Row],[Min]]</f>
        <v>73</v>
      </c>
      <c r="X13">
        <f>Table16[[#This Row],[Column1]]</f>
        <v>11</v>
      </c>
      <c r="Y13">
        <v>11</v>
      </c>
      <c r="Z13">
        <f t="shared" si="2"/>
        <v>112</v>
      </c>
      <c r="AA13" t="str">
        <f t="shared" si="3"/>
        <v>Nathan Chivers</v>
      </c>
      <c r="AB13">
        <f t="shared" si="4"/>
        <v>79.33</v>
      </c>
      <c r="AC13">
        <f t="shared" si="5"/>
        <v>73</v>
      </c>
      <c r="AD13">
        <f>VLOOKUP(Table16[[#This Row],['#]],Table27[['#]:[Drop]],16,0)</f>
        <v>0</v>
      </c>
      <c r="AE13">
        <f>COUNTIF($AD$3:AD13,"X")</f>
        <v>0</v>
      </c>
      <c r="AF13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11</v>
      </c>
      <c r="AG13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13">
        <v>11</v>
      </c>
      <c r="AJ13">
        <f t="shared" si="11"/>
        <v>112</v>
      </c>
      <c r="AK13" t="str">
        <f t="shared" si="12"/>
        <v>Nathan Chivers</v>
      </c>
      <c r="AM13" s="1">
        <v>12</v>
      </c>
      <c r="AN13" s="1">
        <f>VLOOKUP(AM13,$AI$3:$AL$18,2,0)</f>
        <v>420</v>
      </c>
      <c r="AO13" s="1" t="str">
        <f>VLOOKUP(AM13,$AI$3:$AL$18,3,0)</f>
        <v>Harry Love</v>
      </c>
    </row>
    <row r="14" spans="1:41" x14ac:dyDescent="0.3">
      <c r="A14">
        <v>12</v>
      </c>
      <c r="B14">
        <f>VLOOKUP('Round 2'!$A14,INDEX(Entry!$E$2:$U$23,1,'Round 2'!$A$1*2-1):'Entry'!$U$33,18-$A$1*2,0)</f>
        <v>128</v>
      </c>
      <c r="C14" t="str">
        <f>VLOOKUP('Round 2'!$A14,INDEX(Entry!$E$2:$U$23,1,'Round 2'!$A$1*2-1):'Entry'!$U$33,19-$A$1*2,0)</f>
        <v>Lwi Edwards</v>
      </c>
      <c r="D14" s="6" t="s">
        <v>106</v>
      </c>
      <c r="E14" s="6">
        <v>90</v>
      </c>
      <c r="F14" s="6">
        <v>96</v>
      </c>
      <c r="G14" s="6">
        <v>95</v>
      </c>
      <c r="H14">
        <f t="shared" si="6"/>
        <v>93.67</v>
      </c>
      <c r="I14" s="6">
        <v>90</v>
      </c>
      <c r="J14" s="6">
        <v>93</v>
      </c>
      <c r="K14" s="6">
        <v>94</v>
      </c>
      <c r="L14">
        <f t="shared" si="0"/>
        <v>92.33</v>
      </c>
      <c r="M14">
        <f t="shared" si="1"/>
        <v>93.67</v>
      </c>
      <c r="N14">
        <f t="shared" si="7"/>
        <v>92.33</v>
      </c>
      <c r="O14">
        <f t="shared" si="8"/>
        <v>93.763202000000007</v>
      </c>
      <c r="P14">
        <f t="shared" si="9"/>
        <v>2</v>
      </c>
      <c r="R14">
        <f t="shared" si="10"/>
        <v>128</v>
      </c>
      <c r="S14" t="str">
        <f t="shared" si="10"/>
        <v>Lwi Edwards</v>
      </c>
      <c r="T14">
        <f>Table27[[#This Row],[Max]]</f>
        <v>93.67</v>
      </c>
      <c r="U14">
        <f>Table27[[#This Row],[Min]]</f>
        <v>92.33</v>
      </c>
      <c r="X14">
        <f>Table16[[#This Row],[Column1]]</f>
        <v>12</v>
      </c>
      <c r="Y14">
        <v>12</v>
      </c>
      <c r="Z14">
        <f t="shared" si="2"/>
        <v>420</v>
      </c>
      <c r="AA14" t="str">
        <f t="shared" si="3"/>
        <v>Harry Love</v>
      </c>
      <c r="AB14">
        <f t="shared" si="4"/>
        <v>76</v>
      </c>
      <c r="AC14">
        <f t="shared" si="5"/>
        <v>72.67</v>
      </c>
      <c r="AD14">
        <f>VLOOKUP(Table16[[#This Row],['#]],Table27[['#]:[Drop]],16,0)</f>
        <v>0</v>
      </c>
      <c r="AE14">
        <f>COUNTIF($AD$3:AD14,"X")</f>
        <v>0</v>
      </c>
      <c r="AF14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12</v>
      </c>
      <c r="AG14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14">
        <v>12</v>
      </c>
      <c r="AJ14">
        <f t="shared" si="11"/>
        <v>420</v>
      </c>
      <c r="AK14" t="str">
        <f t="shared" si="12"/>
        <v>Harry Love</v>
      </c>
    </row>
    <row r="15" spans="1:41" x14ac:dyDescent="0.3">
      <c r="A15">
        <v>13</v>
      </c>
      <c r="B15">
        <f>VLOOKUP('Round 2'!$A15,INDEX(Entry!$E$2:$U$23,1,'Round 2'!$A$1*2-1):'Entry'!$U$33,18-$A$1*2,0)</f>
        <v>147</v>
      </c>
      <c r="C15" t="str">
        <f>VLOOKUP('Round 2'!$A15,INDEX(Entry!$E$2:$U$23,1,'Round 2'!$A$1*2-1):'Entry'!$U$33,19-$A$1*2,0)</f>
        <v>Richie Gilbey</v>
      </c>
      <c r="D15" s="6" t="s">
        <v>106</v>
      </c>
      <c r="E15" s="6">
        <v>84</v>
      </c>
      <c r="F15" s="6">
        <v>84</v>
      </c>
      <c r="G15" s="6">
        <v>80</v>
      </c>
      <c r="H15">
        <f t="shared" si="6"/>
        <v>82.67</v>
      </c>
      <c r="I15" s="6">
        <v>80</v>
      </c>
      <c r="J15" s="6">
        <v>86</v>
      </c>
      <c r="K15" s="6">
        <v>87</v>
      </c>
      <c r="L15">
        <f t="shared" si="0"/>
        <v>84.33</v>
      </c>
      <c r="M15">
        <f t="shared" si="1"/>
        <v>84.33</v>
      </c>
      <c r="N15">
        <f t="shared" si="7"/>
        <v>82.67</v>
      </c>
      <c r="O15">
        <f t="shared" si="8"/>
        <v>84.413522999999998</v>
      </c>
      <c r="P15">
        <f t="shared" si="9"/>
        <v>8</v>
      </c>
      <c r="R15">
        <f t="shared" si="10"/>
        <v>147</v>
      </c>
      <c r="S15" t="str">
        <f t="shared" si="10"/>
        <v>Richie Gilbey</v>
      </c>
      <c r="T15">
        <f>Table27[[#This Row],[Max]]</f>
        <v>84.33</v>
      </c>
      <c r="U15">
        <f>Table27[[#This Row],[Min]]</f>
        <v>82.67</v>
      </c>
      <c r="X15">
        <f>Table16[[#This Row],[Column1]]</f>
        <v>13</v>
      </c>
      <c r="Y15">
        <v>13</v>
      </c>
      <c r="Z15">
        <f t="shared" si="2"/>
        <v>39</v>
      </c>
      <c r="AA15" t="str">
        <f t="shared" si="3"/>
        <v>Paul Beechey</v>
      </c>
      <c r="AB15">
        <f t="shared" si="4"/>
        <v>71.67</v>
      </c>
      <c r="AC15">
        <f t="shared" si="5"/>
        <v>32</v>
      </c>
      <c r="AD15">
        <f>VLOOKUP(Table16[[#This Row],['#]],Table27[['#]:[Drop]],16,0)</f>
        <v>0</v>
      </c>
      <c r="AE15">
        <f>COUNTIF($AD$3:AD15,"X")</f>
        <v>0</v>
      </c>
      <c r="AF15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13</v>
      </c>
      <c r="AG15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5</v>
      </c>
      <c r="AI15">
        <v>13</v>
      </c>
      <c r="AJ15">
        <f t="shared" si="11"/>
        <v>39</v>
      </c>
      <c r="AK15" t="str">
        <f t="shared" si="12"/>
        <v>Paul Beechey</v>
      </c>
      <c r="AM15" s="1">
        <v>2</v>
      </c>
      <c r="AN15" s="1">
        <f>VLOOKUP(AM15,$AI$3:$AL$18,2,0)</f>
        <v>128</v>
      </c>
      <c r="AO15" s="1" t="str">
        <f>VLOOKUP(AM15,$AI$3:$AL$18,3,0)</f>
        <v>Lwi Edwards</v>
      </c>
    </row>
    <row r="16" spans="1:41" x14ac:dyDescent="0.3">
      <c r="A16">
        <v>14</v>
      </c>
      <c r="B16">
        <f>VLOOKUP('Round 2'!$A16,INDEX(Entry!$E$2:$U$23,1,'Round 2'!$A$1*2-1):'Entry'!$U$33,18-$A$1*2,0)</f>
        <v>265</v>
      </c>
      <c r="C16" t="str">
        <f>VLOOKUP('Round 2'!$A16,INDEX(Entry!$E$2:$U$23,1,'Round 2'!$A$1*2-1):'Entry'!$U$33,19-$A$1*2,0)</f>
        <v>Axel Hildebrand</v>
      </c>
      <c r="D16" s="6" t="s">
        <v>106</v>
      </c>
      <c r="H16">
        <f t="shared" si="6"/>
        <v>0</v>
      </c>
      <c r="L16">
        <f t="shared" si="0"/>
        <v>0</v>
      </c>
      <c r="M16">
        <f t="shared" si="1"/>
        <v>0</v>
      </c>
      <c r="N16">
        <f t="shared" si="7"/>
        <v>0</v>
      </c>
      <c r="O16">
        <f t="shared" si="8"/>
        <v>7.3499999999999998E-4</v>
      </c>
      <c r="P16">
        <f t="shared" si="9"/>
        <v>16</v>
      </c>
      <c r="R16">
        <f t="shared" si="10"/>
        <v>265</v>
      </c>
      <c r="S16" t="str">
        <f t="shared" si="10"/>
        <v>Axel Hildebrand</v>
      </c>
      <c r="T16">
        <f>Table27[[#This Row],[Max]]</f>
        <v>0</v>
      </c>
      <c r="U16">
        <f>Table27[[#This Row],[Min]]</f>
        <v>0</v>
      </c>
      <c r="X16">
        <f>Table16[[#This Row],[Column1]]</f>
        <v>14</v>
      </c>
      <c r="Y16">
        <v>14</v>
      </c>
      <c r="Z16">
        <f t="shared" si="2"/>
        <v>22</v>
      </c>
      <c r="AA16" t="str">
        <f t="shared" si="3"/>
        <v>Joel Conlan</v>
      </c>
      <c r="AB16">
        <f t="shared" si="4"/>
        <v>0</v>
      </c>
      <c r="AC16">
        <f t="shared" si="5"/>
        <v>0</v>
      </c>
      <c r="AD16">
        <f>VLOOKUP(Table16[[#This Row],['#]],Table27[['#]:[Drop]],16,0)</f>
        <v>0</v>
      </c>
      <c r="AE16">
        <f>COUNTIF($AD$3:AD16,"X")</f>
        <v>0</v>
      </c>
      <c r="AF16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14</v>
      </c>
      <c r="AG16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1</v>
      </c>
      <c r="AI16">
        <v>14</v>
      </c>
      <c r="AJ16">
        <f t="shared" si="11"/>
        <v>22</v>
      </c>
      <c r="AK16" t="str">
        <f t="shared" si="12"/>
        <v>Joel Conlan</v>
      </c>
      <c r="AM16" s="1">
        <v>15</v>
      </c>
      <c r="AN16" s="1">
        <f>VLOOKUP(AM16,$AI$3:$AL$18,2,0)</f>
        <v>55</v>
      </c>
      <c r="AO16" s="1" t="str">
        <f>VLOOKUP(AM16,$AI$3:$AL$18,3,0)</f>
        <v>Oliver Evans</v>
      </c>
    </row>
    <row r="17" spans="1:41" x14ac:dyDescent="0.3">
      <c r="A17">
        <v>15</v>
      </c>
      <c r="B17">
        <f>VLOOKUP('Round 2'!$A17,INDEX(Entry!$E$2:$U$23,1,'Round 2'!$A$1*2-1):'Entry'!$U$33,18-$A$1*2,0)</f>
        <v>366</v>
      </c>
      <c r="C17" t="str">
        <f>VLOOKUP('Round 2'!$A17,INDEX(Entry!$E$2:$U$23,1,'Round 2'!$A$1*2-1):'Entry'!$U$33,19-$A$1*2,0)</f>
        <v>Micheal Bennett</v>
      </c>
      <c r="D17" s="6" t="s">
        <v>106</v>
      </c>
      <c r="E17" s="6">
        <v>85</v>
      </c>
      <c r="F17" s="6">
        <v>88</v>
      </c>
      <c r="G17" s="6">
        <v>89</v>
      </c>
      <c r="H17">
        <f t="shared" si="6"/>
        <v>87.33</v>
      </c>
      <c r="I17" s="6">
        <v>79</v>
      </c>
      <c r="J17" s="6">
        <v>72</v>
      </c>
      <c r="K17" s="6">
        <v>77</v>
      </c>
      <c r="L17">
        <f t="shared" si="0"/>
        <v>76</v>
      </c>
      <c r="M17">
        <f t="shared" si="1"/>
        <v>87.33</v>
      </c>
      <c r="N17">
        <f t="shared" si="7"/>
        <v>76</v>
      </c>
      <c r="O17">
        <f t="shared" si="8"/>
        <v>87.406633999999997</v>
      </c>
      <c r="P17">
        <f t="shared" si="9"/>
        <v>6</v>
      </c>
      <c r="R17">
        <f t="shared" si="10"/>
        <v>366</v>
      </c>
      <c r="S17" t="str">
        <f t="shared" si="10"/>
        <v>Micheal Bennett</v>
      </c>
      <c r="T17">
        <f>Table27[[#This Row],[Max]]</f>
        <v>87.33</v>
      </c>
      <c r="U17">
        <f>Table27[[#This Row],[Min]]</f>
        <v>76</v>
      </c>
      <c r="X17">
        <f>Table16[[#This Row],[Column1]]</f>
        <v>15</v>
      </c>
      <c r="Y17">
        <v>15</v>
      </c>
      <c r="Z17">
        <f t="shared" si="2"/>
        <v>55</v>
      </c>
      <c r="AA17" t="str">
        <f t="shared" si="3"/>
        <v>Oliver Evans</v>
      </c>
      <c r="AB17">
        <f t="shared" si="4"/>
        <v>0</v>
      </c>
      <c r="AC17">
        <f t="shared" si="5"/>
        <v>0</v>
      </c>
      <c r="AD17">
        <f>VLOOKUP(Table16[[#This Row],['#]],Table27[['#]:[Drop]],16,0)</f>
        <v>0</v>
      </c>
      <c r="AE17">
        <f>COUNTIF($AD$3:AD17,"X")</f>
        <v>0</v>
      </c>
      <c r="AF17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15</v>
      </c>
      <c r="AG17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1</v>
      </c>
      <c r="AI17">
        <v>15</v>
      </c>
      <c r="AJ17">
        <f t="shared" si="11"/>
        <v>55</v>
      </c>
      <c r="AK17" t="str">
        <f t="shared" si="12"/>
        <v>Oliver Evans</v>
      </c>
    </row>
    <row r="18" spans="1:41" x14ac:dyDescent="0.3">
      <c r="A18">
        <v>16</v>
      </c>
      <c r="B18">
        <f>VLOOKUP('Round 2'!$A18,INDEX(Entry!$E$2:$U$23,1,'Round 2'!$A$1*2-1):'Entry'!$U$33,18-$A$1*2,0)</f>
        <v>420</v>
      </c>
      <c r="C18" t="str">
        <f>VLOOKUP('Round 2'!$A18,INDEX(Entry!$E$2:$U$23,1,'Round 2'!$A$1*2-1):'Entry'!$U$33,19-$A$1*2,0)</f>
        <v>Harry Love</v>
      </c>
      <c r="D18" s="6" t="s">
        <v>106</v>
      </c>
      <c r="E18" s="6">
        <v>76</v>
      </c>
      <c r="F18" s="6">
        <v>71</v>
      </c>
      <c r="G18" s="6">
        <v>71</v>
      </c>
      <c r="H18">
        <f t="shared" si="6"/>
        <v>72.67</v>
      </c>
      <c r="I18" s="6">
        <v>79</v>
      </c>
      <c r="J18" s="6">
        <v>75</v>
      </c>
      <c r="K18" s="6">
        <v>74</v>
      </c>
      <c r="L18">
        <f t="shared" si="0"/>
        <v>76</v>
      </c>
      <c r="M18">
        <f t="shared" si="1"/>
        <v>76</v>
      </c>
      <c r="N18">
        <f t="shared" si="7"/>
        <v>72.67</v>
      </c>
      <c r="O18">
        <f t="shared" si="8"/>
        <v>76.073250000000002</v>
      </c>
      <c r="P18">
        <f t="shared" si="9"/>
        <v>12</v>
      </c>
      <c r="R18">
        <f t="shared" si="10"/>
        <v>420</v>
      </c>
      <c r="S18" t="str">
        <f t="shared" si="10"/>
        <v>Harry Love</v>
      </c>
      <c r="T18">
        <f>Table27[[#This Row],[Max]]</f>
        <v>76</v>
      </c>
      <c r="U18">
        <f>Table27[[#This Row],[Min]]</f>
        <v>72.67</v>
      </c>
      <c r="X18">
        <f>Table16[[#This Row],[Column1]]</f>
        <v>16</v>
      </c>
      <c r="Y18">
        <v>16</v>
      </c>
      <c r="Z18">
        <f t="shared" si="2"/>
        <v>265</v>
      </c>
      <c r="AA18" t="str">
        <f t="shared" si="3"/>
        <v>Axel Hildebrand</v>
      </c>
      <c r="AB18">
        <f t="shared" si="4"/>
        <v>0</v>
      </c>
      <c r="AC18">
        <f t="shared" si="5"/>
        <v>0</v>
      </c>
      <c r="AD18">
        <f>VLOOKUP(Table16[[#This Row],['#]],Table27[['#]:[Drop]],16,0)</f>
        <v>0</v>
      </c>
      <c r="AE18">
        <f>COUNTIF($AD$3:AD18,"X")</f>
        <v>0</v>
      </c>
      <c r="AF18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16</v>
      </c>
      <c r="AG18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1</v>
      </c>
      <c r="AI18">
        <v>16</v>
      </c>
      <c r="AJ18">
        <f t="shared" si="11"/>
        <v>265</v>
      </c>
      <c r="AK18" t="str">
        <f t="shared" si="12"/>
        <v>Axel Hildebrand</v>
      </c>
      <c r="AM18" s="1">
        <v>7</v>
      </c>
      <c r="AN18" s="1">
        <f>VLOOKUP(AM18,$AI$3:$AL$18,2,0)</f>
        <v>86</v>
      </c>
      <c r="AO18" s="1" t="str">
        <f>VLOOKUP(AM18,$AI$3:$AL$18,3,0)</f>
        <v>David Bastin</v>
      </c>
    </row>
    <row r="19" spans="1:41" x14ac:dyDescent="0.3">
      <c r="A19">
        <v>17</v>
      </c>
      <c r="B19">
        <f>VLOOKUP('Round 2'!$A19,INDEX(Entry!$E$2:$U$23,1,'Round 2'!$A$1*2-1):'Entry'!$U$33,18-$A$1*2,0)</f>
        <v>666</v>
      </c>
      <c r="C19" t="str">
        <f>VLOOKUP('Round 2'!$A19,INDEX(Entry!$E$2:$U$23,1,'Round 2'!$A$1*2-1):'Entry'!$U$33,19-$A$1*2,0)</f>
        <v>Ryan Toporowski</v>
      </c>
      <c r="D19" s="6" t="s">
        <v>106</v>
      </c>
      <c r="H19">
        <f t="shared" si="6"/>
        <v>0</v>
      </c>
      <c r="L19">
        <f t="shared" si="0"/>
        <v>0</v>
      </c>
      <c r="M19">
        <f t="shared" si="1"/>
        <v>0</v>
      </c>
      <c r="N19">
        <f t="shared" si="7"/>
        <v>0</v>
      </c>
      <c r="O19">
        <f t="shared" si="8"/>
        <v>3.3399999999999999E-4</v>
      </c>
      <c r="P19">
        <f t="shared" si="9"/>
        <v>17</v>
      </c>
      <c r="R19">
        <f t="shared" si="10"/>
        <v>666</v>
      </c>
      <c r="S19" t="str">
        <f t="shared" si="10"/>
        <v>Ryan Toporowski</v>
      </c>
      <c r="T19">
        <f>Table27[[#This Row],[Max]]</f>
        <v>0</v>
      </c>
      <c r="U19">
        <f>Table27[[#This Row],[Min]]</f>
        <v>0</v>
      </c>
      <c r="X19">
        <f>Table16[[#This Row],[Column1]]</f>
        <v>17</v>
      </c>
      <c r="Y19">
        <v>17</v>
      </c>
      <c r="Z19">
        <f t="shared" si="2"/>
        <v>666</v>
      </c>
      <c r="AA19" t="str">
        <f t="shared" si="3"/>
        <v>Ryan Toporowski</v>
      </c>
      <c r="AB19">
        <f t="shared" si="4"/>
        <v>0</v>
      </c>
      <c r="AC19">
        <f t="shared" si="5"/>
        <v>0</v>
      </c>
      <c r="AD19">
        <f>VLOOKUP(Table16[[#This Row],['#]],Table27[['#]:[Drop]],16,0)</f>
        <v>0</v>
      </c>
      <c r="AE19">
        <f>COUNTIF($AD$3:AD19,"X")</f>
        <v>0</v>
      </c>
      <c r="AF19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17</v>
      </c>
      <c r="AG19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1</v>
      </c>
      <c r="AM19" s="1">
        <v>10</v>
      </c>
      <c r="AN19" s="1">
        <f>VLOOKUP(AM19,$AI$3:$AL$18,2,0)</f>
        <v>66</v>
      </c>
      <c r="AO19" s="1" t="str">
        <f>VLOOKUP(AM19,$AI$3:$AL$18,3,0)</f>
        <v>Andy Frost</v>
      </c>
    </row>
    <row r="20" spans="1:41" x14ac:dyDescent="0.3">
      <c r="A20">
        <v>18</v>
      </c>
      <c r="B20" t="e">
        <f>VLOOKUP('Round 2'!$A20,INDEX(Entry!$E$2:$U$23,1,'Round 2'!$A$1*2-1):'Entry'!$U$33,18-$A$1*2,0)</f>
        <v>#N/A</v>
      </c>
      <c r="C20" t="e">
        <f>VLOOKUP('Round 2'!$A20,INDEX(Entry!$E$2:$U$23,1,'Round 2'!$A$1*2-1):'Entry'!$U$33,19-$A$1*2,0)</f>
        <v>#N/A</v>
      </c>
      <c r="H20">
        <f t="shared" si="6"/>
        <v>0</v>
      </c>
      <c r="L20">
        <f t="shared" si="0"/>
        <v>0</v>
      </c>
      <c r="M20">
        <f t="shared" si="1"/>
        <v>0</v>
      </c>
      <c r="N20">
        <f t="shared" si="7"/>
        <v>0</v>
      </c>
      <c r="O20">
        <f t="shared" si="8"/>
        <v>0</v>
      </c>
      <c r="P20">
        <f t="shared" si="9"/>
        <v>18</v>
      </c>
      <c r="R20" t="e">
        <f t="shared" si="10"/>
        <v>#N/A</v>
      </c>
      <c r="S20" t="e">
        <f t="shared" si="10"/>
        <v>#N/A</v>
      </c>
      <c r="T20">
        <f>Table27[[#This Row],[Max]]</f>
        <v>0</v>
      </c>
      <c r="U20">
        <f>Table27[[#This Row],[Min]]</f>
        <v>0</v>
      </c>
      <c r="X20" t="e">
        <f>Table16[[#This Row],[Column1]]</f>
        <v>#N/A</v>
      </c>
      <c r="Y20">
        <v>18</v>
      </c>
      <c r="Z20" t="e">
        <f t="shared" si="2"/>
        <v>#N/A</v>
      </c>
      <c r="AA20" t="e">
        <f t="shared" si="3"/>
        <v>#N/A</v>
      </c>
      <c r="AB20">
        <f t="shared" si="4"/>
        <v>0</v>
      </c>
      <c r="AC20">
        <f t="shared" si="5"/>
        <v>0</v>
      </c>
      <c r="AD20" t="e">
        <f>VLOOKUP(Table16[[#This Row],['#]],Table27[['#]:[Drop]],16,0)</f>
        <v>#N/A</v>
      </c>
      <c r="AE20">
        <f>COUNTIF($AD$3:AD20,"X")</f>
        <v>0</v>
      </c>
      <c r="AF20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0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</row>
    <row r="21" spans="1:41" x14ac:dyDescent="0.3">
      <c r="A21">
        <v>19</v>
      </c>
      <c r="B21" t="e">
        <f>VLOOKUP('Round 2'!$A21,INDEX(Entry!$E$2:$U$23,1,'Round 2'!$A$1*2-1):'Entry'!$U$33,18-$A$1*2,0)</f>
        <v>#N/A</v>
      </c>
      <c r="C21" t="e">
        <f>VLOOKUP('Round 2'!$A21,INDEX(Entry!$E$2:$U$23,1,'Round 2'!$A$1*2-1):'Entry'!$U$33,19-$A$1*2,0)</f>
        <v>#N/A</v>
      </c>
      <c r="H21">
        <f t="shared" si="6"/>
        <v>0</v>
      </c>
      <c r="L21">
        <f t="shared" si="0"/>
        <v>0</v>
      </c>
      <c r="M21">
        <f t="shared" si="1"/>
        <v>0</v>
      </c>
      <c r="N21">
        <f t="shared" si="7"/>
        <v>0</v>
      </c>
      <c r="O21">
        <f t="shared" si="8"/>
        <v>0</v>
      </c>
      <c r="P21">
        <f t="shared" si="9"/>
        <v>18</v>
      </c>
      <c r="R21" t="e">
        <f t="shared" si="10"/>
        <v>#N/A</v>
      </c>
      <c r="S21" t="e">
        <f t="shared" si="10"/>
        <v>#N/A</v>
      </c>
      <c r="T21">
        <f>Table27[[#This Row],[Max]]</f>
        <v>0</v>
      </c>
      <c r="U21">
        <f>Table27[[#This Row],[Min]]</f>
        <v>0</v>
      </c>
      <c r="X21" t="e">
        <f>Table16[[#This Row],[Column1]]</f>
        <v>#N/A</v>
      </c>
      <c r="Y21">
        <v>19</v>
      </c>
      <c r="Z21" t="e">
        <f t="shared" si="2"/>
        <v>#N/A</v>
      </c>
      <c r="AA21" t="e">
        <f t="shared" si="3"/>
        <v>#N/A</v>
      </c>
      <c r="AB21" t="e">
        <f t="shared" si="4"/>
        <v>#N/A</v>
      </c>
      <c r="AC21" t="e">
        <f t="shared" si="5"/>
        <v>#N/A</v>
      </c>
      <c r="AD21" t="e">
        <f>VLOOKUP(Table16[[#This Row],['#]],Table27[['#]:[Drop]],16,0)</f>
        <v>#N/A</v>
      </c>
      <c r="AE21">
        <f>COUNTIF($AD$3:AD21,"X")</f>
        <v>0</v>
      </c>
      <c r="AF21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1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  <c r="AM21" s="1">
        <v>3</v>
      </c>
      <c r="AN21" s="1">
        <f>VLOOKUP(AM21,$AI$3:$AL$18,2,0)</f>
        <v>94</v>
      </c>
      <c r="AO21" s="1" t="str">
        <f>VLOOKUP(AM21,$AI$3:$AL$18,3,0)</f>
        <v>Paul Cunnington</v>
      </c>
    </row>
    <row r="22" spans="1:41" x14ac:dyDescent="0.3">
      <c r="A22">
        <v>20</v>
      </c>
      <c r="B22" t="e">
        <f>VLOOKUP('Round 2'!$A22,INDEX(Entry!$E$2:$U$23,1,'Round 2'!$A$1*2-1):'Entry'!$U$33,18-$A$1*2,0)</f>
        <v>#N/A</v>
      </c>
      <c r="C22" t="e">
        <f>VLOOKUP('Round 2'!$A22,INDEX(Entry!$E$2:$U$23,1,'Round 2'!$A$1*2-1):'Entry'!$U$33,19-$A$1*2,0)</f>
        <v>#N/A</v>
      </c>
      <c r="H22">
        <f t="shared" si="6"/>
        <v>0</v>
      </c>
      <c r="L22">
        <f t="shared" si="0"/>
        <v>0</v>
      </c>
      <c r="M22">
        <f t="shared" si="1"/>
        <v>0</v>
      </c>
      <c r="N22">
        <f t="shared" si="7"/>
        <v>0</v>
      </c>
      <c r="O22">
        <f t="shared" si="8"/>
        <v>0</v>
      </c>
      <c r="P22">
        <f t="shared" si="9"/>
        <v>18</v>
      </c>
      <c r="R22" t="e">
        <f t="shared" si="10"/>
        <v>#N/A</v>
      </c>
      <c r="S22" t="e">
        <f t="shared" si="10"/>
        <v>#N/A</v>
      </c>
      <c r="T22">
        <f>Table27[[#This Row],[Max]]</f>
        <v>0</v>
      </c>
      <c r="U22">
        <f>Table27[[#This Row],[Min]]</f>
        <v>0</v>
      </c>
      <c r="X22" t="e">
        <f>Table16[[#This Row],[Column1]]</f>
        <v>#N/A</v>
      </c>
      <c r="Y22">
        <v>20</v>
      </c>
      <c r="Z22" t="e">
        <f t="shared" si="2"/>
        <v>#N/A</v>
      </c>
      <c r="AA22" t="e">
        <f t="shared" ref="AA22:AA27" si="13">VLOOKUP(Y22,$P$3:$U$27,4,0)</f>
        <v>#N/A</v>
      </c>
      <c r="AB22" t="e">
        <f t="shared" ref="AB22:AB27" si="14">VLOOKUP(Y22,$P$3:$U$27,5,0)</f>
        <v>#N/A</v>
      </c>
      <c r="AC22" t="e">
        <f t="shared" ref="AC22:AC27" si="15">VLOOKUP(Y22,$P$3:$U$27,6,0)</f>
        <v>#N/A</v>
      </c>
      <c r="AD22" t="e">
        <f>VLOOKUP(Table16[[#This Row],['#]],Table27[['#]:[Drop]],16,0)</f>
        <v>#N/A</v>
      </c>
      <c r="AE22">
        <f>COUNTIF($AD$3:AD22,"X")</f>
        <v>0</v>
      </c>
      <c r="AF22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2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  <c r="AM22" s="1">
        <v>14</v>
      </c>
      <c r="AN22" s="1">
        <f>VLOOKUP(AM22,$AI$3:$AL$18,2,0)</f>
        <v>22</v>
      </c>
      <c r="AO22" s="1" t="str">
        <f>VLOOKUP(AM22,$AI$3:$AL$18,3,0)</f>
        <v>Joel Conlan</v>
      </c>
    </row>
    <row r="23" spans="1:41" x14ac:dyDescent="0.3">
      <c r="A23">
        <v>21</v>
      </c>
      <c r="B23" t="e">
        <f>VLOOKUP('Round 2'!$A23,INDEX(Entry!$E$2:$U$23,1,'Round 2'!$A$1*2-1):'Entry'!$U$33,18-$A$1*2,0)</f>
        <v>#N/A</v>
      </c>
      <c r="C23" t="e">
        <f>VLOOKUP('Round 2'!$A23,INDEX(Entry!$E$2:$U$23,1,'Round 2'!$A$1*2-1):'Entry'!$U$33,19-$A$1*2,0)</f>
        <v>#N/A</v>
      </c>
      <c r="H23">
        <f t="shared" si="6"/>
        <v>0</v>
      </c>
      <c r="L23">
        <f t="shared" si="0"/>
        <v>0</v>
      </c>
      <c r="M23">
        <f t="shared" si="1"/>
        <v>0</v>
      </c>
      <c r="N23">
        <f t="shared" si="7"/>
        <v>0</v>
      </c>
      <c r="O23">
        <f t="shared" si="8"/>
        <v>0</v>
      </c>
      <c r="P23">
        <f t="shared" si="9"/>
        <v>18</v>
      </c>
      <c r="R23" t="e">
        <f t="shared" si="10"/>
        <v>#N/A</v>
      </c>
      <c r="S23" t="e">
        <f t="shared" si="10"/>
        <v>#N/A</v>
      </c>
      <c r="T23">
        <f>Table27[[#This Row],[Max]]</f>
        <v>0</v>
      </c>
      <c r="U23">
        <f>Table27[[#This Row],[Min]]</f>
        <v>0</v>
      </c>
      <c r="X23" t="e">
        <f>Table16[[#This Row],[Column1]]</f>
        <v>#N/A</v>
      </c>
      <c r="Y23">
        <v>21</v>
      </c>
      <c r="Z23" t="e">
        <f t="shared" si="2"/>
        <v>#N/A</v>
      </c>
      <c r="AA23" t="e">
        <f t="shared" si="13"/>
        <v>#N/A</v>
      </c>
      <c r="AB23" t="e">
        <f t="shared" si="14"/>
        <v>#N/A</v>
      </c>
      <c r="AC23" t="e">
        <f t="shared" si="15"/>
        <v>#N/A</v>
      </c>
      <c r="AD23" t="e">
        <f>VLOOKUP(Table16[[#This Row],['#]],Table27[['#]:[Drop]],16,0)</f>
        <v>#N/A</v>
      </c>
      <c r="AE23">
        <f>COUNTIF($AD$3:AD23,"X")</f>
        <v>0</v>
      </c>
      <c r="AF23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3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</row>
    <row r="24" spans="1:41" x14ac:dyDescent="0.3">
      <c r="A24">
        <v>22</v>
      </c>
      <c r="B24" t="e">
        <f>VLOOKUP('Round 2'!$A24,INDEX(Entry!$E$2:$U$23,1,'Round 2'!$A$1*2-1):'Entry'!$U$33,18-$A$1*2,0)</f>
        <v>#N/A</v>
      </c>
      <c r="C24" t="e">
        <f>VLOOKUP('Round 2'!$A24,INDEX(Entry!$E$2:$U$23,1,'Round 2'!$A$1*2-1):'Entry'!$U$33,19-$A$1*2,0)</f>
        <v>#N/A</v>
      </c>
      <c r="H24">
        <f t="shared" si="6"/>
        <v>0</v>
      </c>
      <c r="L24">
        <f t="shared" si="0"/>
        <v>0</v>
      </c>
      <c r="M24">
        <f t="shared" si="1"/>
        <v>0</v>
      </c>
      <c r="N24">
        <f t="shared" si="7"/>
        <v>0</v>
      </c>
      <c r="O24">
        <f t="shared" si="8"/>
        <v>0</v>
      </c>
      <c r="P24">
        <f t="shared" si="9"/>
        <v>18</v>
      </c>
      <c r="R24" t="e">
        <f t="shared" si="10"/>
        <v>#N/A</v>
      </c>
      <c r="S24" t="e">
        <f t="shared" si="10"/>
        <v>#N/A</v>
      </c>
      <c r="T24">
        <f>Table27[[#This Row],[Max]]</f>
        <v>0</v>
      </c>
      <c r="U24">
        <f>Table27[[#This Row],[Min]]</f>
        <v>0</v>
      </c>
      <c r="X24" t="e">
        <f>Table16[[#This Row],[Column1]]</f>
        <v>#N/A</v>
      </c>
      <c r="Y24">
        <v>22</v>
      </c>
      <c r="Z24" t="e">
        <f t="shared" si="2"/>
        <v>#N/A</v>
      </c>
      <c r="AA24" t="e">
        <f t="shared" si="13"/>
        <v>#N/A</v>
      </c>
      <c r="AB24" t="e">
        <f t="shared" si="14"/>
        <v>#N/A</v>
      </c>
      <c r="AC24" t="e">
        <f t="shared" si="15"/>
        <v>#N/A</v>
      </c>
      <c r="AD24" t="e">
        <f>VLOOKUP(Table16[[#This Row],['#]],Table27[['#]:[Drop]],16,0)</f>
        <v>#N/A</v>
      </c>
      <c r="AE24">
        <f>COUNTIF($AD$3:AD24,"X")</f>
        <v>0</v>
      </c>
      <c r="AF24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4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  <c r="AM24" s="1">
        <v>6</v>
      </c>
      <c r="AN24" s="1">
        <f>VLOOKUP(AM24,$AI$3:$AL$18,2,0)</f>
        <v>366</v>
      </c>
      <c r="AO24" s="1" t="str">
        <f>VLOOKUP(AM24,$AI$3:$AL$18,3,0)</f>
        <v>Micheal Bennett</v>
      </c>
    </row>
    <row r="25" spans="1:41" x14ac:dyDescent="0.3">
      <c r="A25">
        <v>23</v>
      </c>
      <c r="B25" t="e">
        <f>VLOOKUP('Round 2'!$A25,INDEX(Entry!$E$2:$U$23,1,'Round 2'!$A$1*2-1):'Entry'!$U$33,18-$A$1*2,0)</f>
        <v>#N/A</v>
      </c>
      <c r="C25" t="e">
        <f>VLOOKUP('Round 2'!$A25,INDEX(Entry!$E$2:$U$23,1,'Round 2'!$A$1*2-1):'Entry'!$U$33,19-$A$1*2,0)</f>
        <v>#N/A</v>
      </c>
      <c r="H25">
        <f t="shared" si="6"/>
        <v>0</v>
      </c>
      <c r="L25">
        <f t="shared" si="0"/>
        <v>0</v>
      </c>
      <c r="M25">
        <f t="shared" si="1"/>
        <v>0</v>
      </c>
      <c r="N25">
        <f t="shared" si="7"/>
        <v>0</v>
      </c>
      <c r="O25">
        <f t="shared" si="8"/>
        <v>0</v>
      </c>
      <c r="P25">
        <f t="shared" si="9"/>
        <v>18</v>
      </c>
      <c r="R25" t="e">
        <f t="shared" si="10"/>
        <v>#N/A</v>
      </c>
      <c r="S25" t="e">
        <f t="shared" si="10"/>
        <v>#N/A</v>
      </c>
      <c r="T25">
        <f>Table27[[#This Row],[Max]]</f>
        <v>0</v>
      </c>
      <c r="U25">
        <f>Table27[[#This Row],[Min]]</f>
        <v>0</v>
      </c>
      <c r="X25" t="e">
        <f>Table16[[#This Row],[Column1]]</f>
        <v>#N/A</v>
      </c>
      <c r="Y25">
        <v>23</v>
      </c>
      <c r="Z25" t="e">
        <f t="shared" si="2"/>
        <v>#N/A</v>
      </c>
      <c r="AA25" t="e">
        <f t="shared" si="13"/>
        <v>#N/A</v>
      </c>
      <c r="AB25" t="e">
        <f t="shared" si="14"/>
        <v>#N/A</v>
      </c>
      <c r="AC25" t="e">
        <f t="shared" si="15"/>
        <v>#N/A</v>
      </c>
      <c r="AD25" t="e">
        <f>VLOOKUP(Table16[[#This Row],['#]],Table27[['#]:[Drop]],16,0)</f>
        <v>#N/A</v>
      </c>
      <c r="AE25">
        <f>COUNTIF($AD$3:AD25,"X")</f>
        <v>0</v>
      </c>
      <c r="AF25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5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  <c r="AM25" s="1">
        <v>11</v>
      </c>
      <c r="AN25" s="1">
        <f>VLOOKUP(AM25,$AI$3:$AL$18,2,0)</f>
        <v>112</v>
      </c>
      <c r="AO25" s="1" t="str">
        <f>VLOOKUP(AM25,$AI$3:$AL$18,3,0)</f>
        <v>Nathan Chivers</v>
      </c>
    </row>
    <row r="26" spans="1:41" x14ac:dyDescent="0.3">
      <c r="A26">
        <v>24</v>
      </c>
      <c r="B26" t="e">
        <f>VLOOKUP('Round 2'!$A26,INDEX(Entry!$E$2:$U$23,1,'Round 2'!$A$1*2-1):'Entry'!$U$33,18-$A$1*2,0)</f>
        <v>#N/A</v>
      </c>
      <c r="C26" t="e">
        <f>VLOOKUP('Round 2'!$A26,INDEX(Entry!$E$2:$U$23,1,'Round 2'!$A$1*2-1):'Entry'!$U$33,19-$A$1*2,0)</f>
        <v>#N/A</v>
      </c>
      <c r="H26">
        <f t="shared" si="6"/>
        <v>0</v>
      </c>
      <c r="L26">
        <f t="shared" si="0"/>
        <v>0</v>
      </c>
      <c r="M26">
        <f t="shared" si="1"/>
        <v>0</v>
      </c>
      <c r="N26">
        <f t="shared" si="7"/>
        <v>0</v>
      </c>
      <c r="O26">
        <f t="shared" si="8"/>
        <v>0</v>
      </c>
      <c r="P26">
        <f t="shared" si="9"/>
        <v>18</v>
      </c>
      <c r="R26" t="e">
        <f t="shared" si="10"/>
        <v>#N/A</v>
      </c>
      <c r="S26" t="e">
        <f t="shared" si="10"/>
        <v>#N/A</v>
      </c>
      <c r="T26">
        <f>Table27[[#This Row],[Max]]</f>
        <v>0</v>
      </c>
      <c r="U26">
        <f>Table27[[#This Row],[Min]]</f>
        <v>0</v>
      </c>
      <c r="X26" t="e">
        <f>Table16[[#This Row],[Column1]]</f>
        <v>#N/A</v>
      </c>
      <c r="Y26">
        <v>24</v>
      </c>
      <c r="Z26" t="e">
        <f t="shared" si="2"/>
        <v>#N/A</v>
      </c>
      <c r="AA26" t="e">
        <f t="shared" si="13"/>
        <v>#N/A</v>
      </c>
      <c r="AB26" t="e">
        <f t="shared" si="14"/>
        <v>#N/A</v>
      </c>
      <c r="AC26" t="e">
        <f t="shared" si="15"/>
        <v>#N/A</v>
      </c>
      <c r="AD26" t="e">
        <f>VLOOKUP(Table16[[#This Row],['#]],Table27[['#]:[Drop]],16,0)</f>
        <v>#N/A</v>
      </c>
      <c r="AE26">
        <f>COUNTIF($AD$3:AD26,"X")</f>
        <v>0</v>
      </c>
      <c r="AF26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6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</row>
    <row r="27" spans="1:41" x14ac:dyDescent="0.3">
      <c r="A27">
        <v>25</v>
      </c>
      <c r="B27" t="e">
        <f>VLOOKUP('Round 2'!$A27,INDEX(Entry!$E$2:$U$23,1,'Round 2'!$A$1*2-1):'Entry'!$U$33,18-$A$1*2,0)</f>
        <v>#N/A</v>
      </c>
      <c r="C27" t="e">
        <f>VLOOKUP('Round 2'!$A27,INDEX(Entry!$E$2:$U$23,1,'Round 2'!$A$1*2-1):'Entry'!$U$33,19-$A$1*2,0)</f>
        <v>#N/A</v>
      </c>
      <c r="H27">
        <f t="shared" si="6"/>
        <v>0</v>
      </c>
      <c r="L27">
        <f t="shared" si="0"/>
        <v>0</v>
      </c>
      <c r="M27">
        <f t="shared" si="1"/>
        <v>0</v>
      </c>
      <c r="N27">
        <f t="shared" si="7"/>
        <v>0</v>
      </c>
      <c r="O27">
        <f t="shared" si="8"/>
        <v>0</v>
      </c>
      <c r="P27">
        <f t="shared" si="9"/>
        <v>18</v>
      </c>
      <c r="R27" t="e">
        <f t="shared" si="10"/>
        <v>#N/A</v>
      </c>
      <c r="S27" t="e">
        <f t="shared" si="10"/>
        <v>#N/A</v>
      </c>
      <c r="T27">
        <f>Table27[[#This Row],[Max]]</f>
        <v>0</v>
      </c>
      <c r="U27">
        <f>Table27[[#This Row],[Min]]</f>
        <v>0</v>
      </c>
      <c r="X27" t="e">
        <f>Table16[[#This Row],[Column1]]</f>
        <v>#N/A</v>
      </c>
      <c r="Y27">
        <v>25</v>
      </c>
      <c r="Z27" t="e">
        <f t="shared" si="2"/>
        <v>#N/A</v>
      </c>
      <c r="AA27" t="e">
        <f t="shared" si="13"/>
        <v>#N/A</v>
      </c>
      <c r="AB27" t="e">
        <f t="shared" si="14"/>
        <v>#N/A</v>
      </c>
      <c r="AC27" t="e">
        <f t="shared" si="15"/>
        <v>#N/A</v>
      </c>
      <c r="AD27" t="e">
        <f>VLOOKUP(Table16[[#This Row],['#]],Table27[['#]:[Drop]],16,0)</f>
        <v>#N/A</v>
      </c>
      <c r="AE27">
        <f>COUNTIF($AD$3:AD27,"X")</f>
        <v>0</v>
      </c>
      <c r="AF27" t="e">
        <f>IF(Table16[[#This Row],[Drop Hide]]="X",16+Table16[[#This Row],[Count drop hide]],IF(Table16[[#This Row],[Rank]]-Table16[[#This Row],[Count drop hide]]&gt;16,Table16[[#This Row],[Rank]],Table16[[#This Row],[Rank]]-Table16[[#This Row],[Count drop hide]]))</f>
        <v>#N/A</v>
      </c>
      <c r="AG27" t="e">
        <f>IF(Table16[[#This Row],[Drop Hide]]="X",10,IF(AND(Table16[[#This Row],[Highest Score]]&gt;0,Table16[[#This Row],[Lower Score]]&gt;0),5,IF(AND(Table16[[#This Row],[Highest Score]]&gt;0,Table16[[#This Row],[Lower Score]]=0),2,IF(AND(Table16[[#This Row],[Highest Score]]=0,Table16[[#This Row],[Lower Score]]=0,VLOOKUP(Table16[[#This Row],['#]],Table27[['#]:[Scrut]],3,0)="X"),1,0))))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E349A7B8-8299-48E0-80F9-10AE03E70179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3533-3BD2-4C33-B70D-15CF32AD72B8}">
  <dimension ref="A1:AK40"/>
  <sheetViews>
    <sheetView topLeftCell="D1" zoomScale="82" workbookViewId="0">
      <selection activeCell="AD16" sqref="AD16"/>
    </sheetView>
  </sheetViews>
  <sheetFormatPr defaultColWidth="8.88671875"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3" bestFit="1" customWidth="1"/>
    <col min="22" max="22" width="4" bestFit="1" customWidth="1"/>
    <col min="23" max="23" width="17" bestFit="1" customWidth="1"/>
    <col min="25" max="25" width="3" bestFit="1" customWidth="1"/>
    <col min="26" max="26" width="4" bestFit="1" customWidth="1"/>
    <col min="27" max="27" width="17.88671875" bestFit="1" customWidth="1"/>
    <col min="28" max="28" width="5.88671875" bestFit="1" customWidth="1"/>
    <col min="30" max="30" width="9" bestFit="1" customWidth="1"/>
    <col min="31" max="31" width="5.5546875" bestFit="1" customWidth="1"/>
    <col min="32" max="32" width="17.88671875" bestFit="1" customWidth="1"/>
    <col min="33" max="33" width="6" bestFit="1" customWidth="1"/>
    <col min="35" max="35" width="3" hidden="1" customWidth="1"/>
    <col min="36" max="36" width="4" hidden="1" customWidth="1"/>
    <col min="37" max="37" width="14.88671875" hidden="1" customWidth="1"/>
  </cols>
  <sheetData>
    <row r="1" spans="1:37" x14ac:dyDescent="0.3">
      <c r="A1" t="s">
        <v>85</v>
      </c>
      <c r="B1" t="s">
        <v>63</v>
      </c>
      <c r="C1" t="s">
        <v>64</v>
      </c>
      <c r="D1" t="s">
        <v>86</v>
      </c>
      <c r="F1" t="s">
        <v>77</v>
      </c>
      <c r="G1" t="s">
        <v>63</v>
      </c>
      <c r="K1" t="s">
        <v>77</v>
      </c>
      <c r="L1" t="s">
        <v>63</v>
      </c>
      <c r="P1" t="s">
        <v>77</v>
      </c>
      <c r="Q1" t="s">
        <v>63</v>
      </c>
      <c r="U1" t="s">
        <v>77</v>
      </c>
      <c r="V1" t="s">
        <v>63</v>
      </c>
    </row>
    <row r="2" spans="1:37" x14ac:dyDescent="0.3">
      <c r="A2" s="1">
        <v>1</v>
      </c>
      <c r="B2" s="1">
        <f>VLOOKUP(A2,'Round 2'!$AI$3:$AK$18,2,0)</f>
        <v>93</v>
      </c>
      <c r="C2" s="1" t="str">
        <f>VLOOKUP(A2,'Round 2'!$AI$3:$AK$18,3,0)</f>
        <v>Josh King</v>
      </c>
      <c r="D2" s="1">
        <f>AB3</f>
        <v>3</v>
      </c>
      <c r="E2" s="2"/>
      <c r="Y2" t="s">
        <v>77</v>
      </c>
      <c r="Z2" t="s">
        <v>63</v>
      </c>
      <c r="AA2" t="s">
        <v>64</v>
      </c>
      <c r="AB2" t="s">
        <v>86</v>
      </c>
      <c r="AD2" t="s">
        <v>87</v>
      </c>
      <c r="AG2" t="s">
        <v>86</v>
      </c>
    </row>
    <row r="3" spans="1:37" x14ac:dyDescent="0.3">
      <c r="A3" s="3"/>
      <c r="E3" s="2"/>
      <c r="F3" s="1">
        <f>IF(AND(D2=0,D4=0),"",IF(D2&gt;D4,A2,A4))</f>
        <v>1</v>
      </c>
      <c r="G3" s="1">
        <f>IF(AND(D2=0,D4=0),"",IF(D2&gt;D4,B2,B4))</f>
        <v>93</v>
      </c>
      <c r="H3" s="1" t="str">
        <f>IF(AND(D2=0,D4=0),"",IF(D2&gt;D4,C2,C4))</f>
        <v>Josh King</v>
      </c>
      <c r="I3" s="1">
        <f>AB27</f>
        <v>3</v>
      </c>
      <c r="J3" s="2"/>
      <c r="Y3" s="1">
        <f>A2</f>
        <v>1</v>
      </c>
      <c r="Z3" s="1">
        <f>B2</f>
        <v>93</v>
      </c>
      <c r="AA3" s="1" t="str">
        <f>C2</f>
        <v>Josh King</v>
      </c>
      <c r="AB3" s="4">
        <v>3</v>
      </c>
      <c r="AD3" s="1">
        <f>K5</f>
        <v>1</v>
      </c>
      <c r="AE3" s="1">
        <f t="shared" ref="AE3:AF3" si="0">L5</f>
        <v>93</v>
      </c>
      <c r="AF3" s="1" t="str">
        <f t="shared" si="0"/>
        <v>Josh King</v>
      </c>
      <c r="AG3" s="4"/>
    </row>
    <row r="4" spans="1:37" x14ac:dyDescent="0.3">
      <c r="A4" s="1">
        <v>16</v>
      </c>
      <c r="B4" s="1">
        <f>VLOOKUP(A4,'Round 2'!$AI$3:$AK$18,2,0)</f>
        <v>265</v>
      </c>
      <c r="C4" s="1" t="str">
        <f>VLOOKUP(A4,'Round 2'!$AI$3:$AK$18,3,0)</f>
        <v>Axel Hildebrand</v>
      </c>
      <c r="D4" s="1">
        <f>AB4</f>
        <v>0</v>
      </c>
      <c r="E4" s="2"/>
      <c r="J4" s="2"/>
      <c r="Y4" s="1">
        <f>A4</f>
        <v>16</v>
      </c>
      <c r="Z4" s="1">
        <f>B4</f>
        <v>265</v>
      </c>
      <c r="AA4" s="1" t="str">
        <f>C4</f>
        <v>Axel Hildebrand</v>
      </c>
      <c r="AB4" s="4"/>
      <c r="AD4" s="1">
        <f>K13</f>
        <v>4</v>
      </c>
      <c r="AE4" s="1">
        <f t="shared" ref="AE4:AF4" si="1">L13</f>
        <v>61</v>
      </c>
      <c r="AF4" s="1" t="str">
        <f t="shared" si="1"/>
        <v>Martin Richards</v>
      </c>
      <c r="AG4" s="4">
        <v>3</v>
      </c>
    </row>
    <row r="5" spans="1:37" x14ac:dyDescent="0.3">
      <c r="J5" s="2"/>
      <c r="K5" s="1">
        <f>IF(AND(I3=0,I7=0),"",IF(I3&gt;I7,F3,F7))</f>
        <v>1</v>
      </c>
      <c r="L5" s="1">
        <f>IF(AND(I3=0,I7=0),"",IF(I3&gt;I7,G3,G7))</f>
        <v>93</v>
      </c>
      <c r="M5" s="1" t="str">
        <f>IF(AND(I3=0,I7=0),"",IF(I3&gt;I7,H3,H7))</f>
        <v>Josh King</v>
      </c>
      <c r="N5" s="1">
        <f>AG3</f>
        <v>0</v>
      </c>
      <c r="O5" s="2"/>
      <c r="AD5" t="s">
        <v>88</v>
      </c>
    </row>
    <row r="6" spans="1:37" x14ac:dyDescent="0.3">
      <c r="A6" s="1">
        <v>8</v>
      </c>
      <c r="B6" s="1">
        <f>VLOOKUP(A6,'Round 2'!$AI$3:$AK$18,2,0)</f>
        <v>147</v>
      </c>
      <c r="C6" s="1" t="str">
        <f>VLOOKUP(A6,'Round 2'!$AI$3:$AK$18,3,0)</f>
        <v>Richie Gilbey</v>
      </c>
      <c r="D6" s="1">
        <f>AB6</f>
        <v>3</v>
      </c>
      <c r="E6" s="2"/>
      <c r="J6" s="2"/>
      <c r="O6" s="2"/>
      <c r="Y6" s="1">
        <f>A6</f>
        <v>8</v>
      </c>
      <c r="Z6" s="1">
        <f>B6</f>
        <v>147</v>
      </c>
      <c r="AA6" s="1" t="str">
        <f>C6</f>
        <v>Richie Gilbey</v>
      </c>
      <c r="AB6" s="4">
        <v>3</v>
      </c>
      <c r="AD6" s="1">
        <f>K21</f>
        <v>2</v>
      </c>
      <c r="AE6" s="1">
        <f t="shared" ref="AE6:AF6" si="2">L21</f>
        <v>128</v>
      </c>
      <c r="AF6" s="1" t="str">
        <f t="shared" si="2"/>
        <v>Lwi Edwards</v>
      </c>
      <c r="AG6" s="4">
        <v>3</v>
      </c>
      <c r="AI6">
        <f>IF(F3=K5,F7,F3)</f>
        <v>8</v>
      </c>
      <c r="AJ6">
        <f>VLOOKUP(AI6,$A$2:$C$32,2,0)</f>
        <v>147</v>
      </c>
      <c r="AK6" t="str">
        <f>VLOOKUP(AI6,$A$2:$C$32,3,0)</f>
        <v>Richie Gilbey</v>
      </c>
    </row>
    <row r="7" spans="1:37" x14ac:dyDescent="0.3">
      <c r="A7" s="3"/>
      <c r="E7" s="2"/>
      <c r="F7" s="1">
        <f>IF(AND(D6=0,D8=0),"",IF(D6&gt;D8,A6,A8))</f>
        <v>8</v>
      </c>
      <c r="G7" s="1">
        <f>IF(AND(D6=0,D8=0),"",IF(D6&gt;D8,B6,B8))</f>
        <v>147</v>
      </c>
      <c r="H7" s="1" t="str">
        <f>IF(AND(D6=0,D8=0),"",IF(D6&gt;D8,C6,C8))</f>
        <v>Richie Gilbey</v>
      </c>
      <c r="I7" s="1">
        <f>AB28</f>
        <v>0</v>
      </c>
      <c r="J7" s="2"/>
      <c r="O7" s="2"/>
      <c r="Y7" s="1">
        <f>A8</f>
        <v>9</v>
      </c>
      <c r="Z7" s="1">
        <f>B8</f>
        <v>26</v>
      </c>
      <c r="AA7" s="1" t="str">
        <f>C8</f>
        <v>Haydn Cruickshank</v>
      </c>
      <c r="AB7" s="4"/>
      <c r="AD7" s="1">
        <f>K29</f>
        <v>3</v>
      </c>
      <c r="AE7" s="1">
        <f t="shared" ref="AE7:AF7" si="3">L29</f>
        <v>94</v>
      </c>
      <c r="AF7" s="1" t="str">
        <f t="shared" si="3"/>
        <v>Paul Cunnington</v>
      </c>
      <c r="AG7" s="4"/>
      <c r="AI7">
        <f>IF(F11=K13,F15,F11)</f>
        <v>5</v>
      </c>
      <c r="AJ7">
        <f t="shared" ref="AJ7:AJ18" si="4">VLOOKUP(AI7,$A$2:$C$32,2,0)</f>
        <v>41</v>
      </c>
      <c r="AK7" t="str">
        <f t="shared" ref="AK7:AK18" si="5">VLOOKUP(AI7,$A$2:$C$32,3,0)</f>
        <v>Ian Phillips</v>
      </c>
    </row>
    <row r="8" spans="1:37" x14ac:dyDescent="0.3">
      <c r="A8" s="1">
        <v>9</v>
      </c>
      <c r="B8" s="1">
        <f>VLOOKUP(A8,'Round 2'!$AI$3:$AK$18,2,0)</f>
        <v>26</v>
      </c>
      <c r="C8" s="1" t="str">
        <f>VLOOKUP(A8,'Round 2'!$AI$3:$AK$18,3,0)</f>
        <v>Haydn Cruickshank</v>
      </c>
      <c r="D8" s="1">
        <f>AB7</f>
        <v>0</v>
      </c>
      <c r="E8" s="2"/>
      <c r="O8" s="2"/>
      <c r="AD8" t="s">
        <v>91</v>
      </c>
      <c r="AI8">
        <f>IF(F19=K21,F23,F19)</f>
        <v>7</v>
      </c>
      <c r="AJ8">
        <f t="shared" si="4"/>
        <v>86</v>
      </c>
      <c r="AK8" t="str">
        <f t="shared" si="5"/>
        <v>David Bastin</v>
      </c>
    </row>
    <row r="9" spans="1:37" x14ac:dyDescent="0.3">
      <c r="O9" s="2"/>
      <c r="P9" s="1">
        <f>IF(AND(N5=0,N13=0),"",IF(N5&gt;N13,K5,K13))</f>
        <v>4</v>
      </c>
      <c r="Q9" s="1">
        <f>IF(AND(N5=0,N13=0),"",IF(N5&gt;N13,L5,L13))</f>
        <v>61</v>
      </c>
      <c r="R9" s="1" t="str">
        <f>IF(AND(N5=0,N13=0),"",IF(N5&gt;N13,M5,M13))</f>
        <v>Martin Richards</v>
      </c>
      <c r="S9" s="1">
        <f>AG12</f>
        <v>0</v>
      </c>
      <c r="T9" s="2"/>
      <c r="Y9" s="1">
        <f>A10</f>
        <v>4</v>
      </c>
      <c r="Z9" s="1">
        <f t="shared" ref="Z9:AA9" si="6">B10</f>
        <v>61</v>
      </c>
      <c r="AA9" s="1" t="str">
        <f t="shared" si="6"/>
        <v>Martin Richards</v>
      </c>
      <c r="AB9" s="4">
        <v>3</v>
      </c>
      <c r="AD9" s="1">
        <f>IF(K5=P9,K13,K5)</f>
        <v>1</v>
      </c>
      <c r="AE9" s="1">
        <f>IF(AND(N5=0,N13=0),"",IF(L5=Q9,L13,L5))</f>
        <v>93</v>
      </c>
      <c r="AF9" s="1" t="str">
        <f>IF(AND(N5=0,N13=0),"",IF(M5=R9,M13,M5))</f>
        <v>Josh King</v>
      </c>
      <c r="AG9" s="4">
        <v>3</v>
      </c>
      <c r="AI9">
        <f>IF(F27=K29,F31,F27)</f>
        <v>6</v>
      </c>
      <c r="AJ9">
        <f t="shared" si="4"/>
        <v>366</v>
      </c>
      <c r="AK9" t="str">
        <f t="shared" si="5"/>
        <v>Micheal Bennett</v>
      </c>
    </row>
    <row r="10" spans="1:37" x14ac:dyDescent="0.3">
      <c r="A10" s="1">
        <v>4</v>
      </c>
      <c r="B10" s="1">
        <f>VLOOKUP(A10,'Round 2'!$AI$3:$AK$18,2,0)</f>
        <v>61</v>
      </c>
      <c r="C10" s="1" t="str">
        <f>VLOOKUP(A10,'Round 2'!$AI$3:$AK$18,3,0)</f>
        <v>Martin Richards</v>
      </c>
      <c r="D10" s="1">
        <f>AB9</f>
        <v>3</v>
      </c>
      <c r="E10" s="2"/>
      <c r="O10" s="2"/>
      <c r="T10" s="2"/>
      <c r="Y10" s="1">
        <f>A12</f>
        <v>13</v>
      </c>
      <c r="Z10" s="1">
        <f t="shared" ref="Z10:AA10" si="7">B12</f>
        <v>39</v>
      </c>
      <c r="AA10" s="1" t="str">
        <f t="shared" si="7"/>
        <v>Paul Beechey</v>
      </c>
      <c r="AB10" s="4"/>
      <c r="AD10" s="1">
        <f>IF(K21=P25,K29,K21)</f>
        <v>3</v>
      </c>
      <c r="AE10" s="1">
        <f>IF(AND(N21=0,N29=0),"",IF(L21=Q25,L29,L21))</f>
        <v>94</v>
      </c>
      <c r="AF10" s="1" t="str">
        <f>IF(AND(N21=0,N29=0),"",IF(M21=R25,M29,M21))</f>
        <v>Paul Cunnington</v>
      </c>
      <c r="AG10" s="4"/>
    </row>
    <row r="11" spans="1:37" x14ac:dyDescent="0.3">
      <c r="A11" s="3"/>
      <c r="E11" s="2"/>
      <c r="F11" s="1">
        <f>IF(AND(D10=0,D12=0),"",IF(D10&gt;D12,A10,A12))</f>
        <v>4</v>
      </c>
      <c r="G11" s="1">
        <f>IF(AND(D10=0,D12=0),"",IF(D10&gt;D12,B10,B12))</f>
        <v>61</v>
      </c>
      <c r="H11" s="1" t="str">
        <f>IF(AND(D10=0,D12=0),"",IF(D10&gt;D12,C10,C12))</f>
        <v>Martin Richards</v>
      </c>
      <c r="I11" s="1">
        <f>AB30</f>
        <v>3</v>
      </c>
      <c r="J11" s="2"/>
      <c r="O11" s="2"/>
      <c r="T11" s="2"/>
      <c r="AD11" t="s">
        <v>89</v>
      </c>
      <c r="AI11">
        <f>IF(A2=F3,A4,A2)</f>
        <v>16</v>
      </c>
      <c r="AJ11">
        <f t="shared" si="4"/>
        <v>265</v>
      </c>
      <c r="AK11" t="str">
        <f t="shared" si="5"/>
        <v>Axel Hildebrand</v>
      </c>
    </row>
    <row r="12" spans="1:37" x14ac:dyDescent="0.3">
      <c r="A12" s="1">
        <v>13</v>
      </c>
      <c r="B12" s="1">
        <f>VLOOKUP(A12,'Round 2'!$AI$3:$AK$18,2,0)</f>
        <v>39</v>
      </c>
      <c r="C12" s="1" t="str">
        <f>VLOOKUP(A12,'Round 2'!$AI$3:$AK$18,3,0)</f>
        <v>Paul Beechey</v>
      </c>
      <c r="D12" s="1">
        <f>AB10</f>
        <v>0</v>
      </c>
      <c r="E12" s="2"/>
      <c r="J12" s="2"/>
      <c r="O12" s="2"/>
      <c r="T12" s="2"/>
      <c r="Y12" s="1">
        <f>A14</f>
        <v>5</v>
      </c>
      <c r="Z12" s="1">
        <f t="shared" ref="Z12:AA12" si="8">B14</f>
        <v>41</v>
      </c>
      <c r="AA12" s="1" t="str">
        <f t="shared" si="8"/>
        <v>Ian Phillips</v>
      </c>
      <c r="AB12" s="4">
        <v>3</v>
      </c>
      <c r="AD12" s="1">
        <f>P9</f>
        <v>4</v>
      </c>
      <c r="AE12" s="1">
        <f>Q9</f>
        <v>61</v>
      </c>
      <c r="AF12" s="1" t="str">
        <f>R9</f>
        <v>Martin Richards</v>
      </c>
      <c r="AG12" s="4"/>
      <c r="AI12">
        <f>IF(A6=F7,A8,A6)</f>
        <v>9</v>
      </c>
      <c r="AJ12">
        <f t="shared" si="4"/>
        <v>26</v>
      </c>
      <c r="AK12" t="str">
        <f t="shared" si="5"/>
        <v>Haydn Cruickshank</v>
      </c>
    </row>
    <row r="13" spans="1:37" x14ac:dyDescent="0.3">
      <c r="J13" s="2"/>
      <c r="K13" s="1">
        <f>IF(AND(I11=0,I15=0),"",IF(I11&gt;I15,F11,F15))</f>
        <v>4</v>
      </c>
      <c r="L13" s="1">
        <f>IF(AND(I11=0,I15=0),"",IF(I11&gt;I15,G11,G15))</f>
        <v>61</v>
      </c>
      <c r="M13" s="1" t="str">
        <f>IF(AND(I11=0,I15=0),"",IF(I11&gt;I15,H11,H15))</f>
        <v>Martin Richards</v>
      </c>
      <c r="N13" s="1">
        <f>AG4</f>
        <v>3</v>
      </c>
      <c r="O13" s="2"/>
      <c r="T13" s="2"/>
      <c r="Y13" s="1">
        <f>A16</f>
        <v>12</v>
      </c>
      <c r="Z13" s="1">
        <f t="shared" ref="Z13:AA13" si="9">B16</f>
        <v>420</v>
      </c>
      <c r="AA13" s="1" t="str">
        <f t="shared" si="9"/>
        <v>Harry Love</v>
      </c>
      <c r="AB13" s="4"/>
      <c r="AD13" s="1">
        <f>P25</f>
        <v>2</v>
      </c>
      <c r="AE13" s="1">
        <f>Q25</f>
        <v>128</v>
      </c>
      <c r="AF13" s="1" t="str">
        <f>R25</f>
        <v>Lwi Edwards</v>
      </c>
      <c r="AG13" s="4">
        <v>3</v>
      </c>
      <c r="AI13">
        <f>IF(A10=F11,A12,A10)</f>
        <v>13</v>
      </c>
      <c r="AJ13">
        <f t="shared" si="4"/>
        <v>39</v>
      </c>
      <c r="AK13" t="str">
        <f t="shared" si="5"/>
        <v>Paul Beechey</v>
      </c>
    </row>
    <row r="14" spans="1:37" x14ac:dyDescent="0.3">
      <c r="A14" s="1">
        <v>5</v>
      </c>
      <c r="B14" s="1">
        <f>VLOOKUP(A14,'Round 2'!$AI$3:$AK$18,2,0)</f>
        <v>41</v>
      </c>
      <c r="C14" s="1" t="str">
        <f>VLOOKUP(A14,'Round 2'!$AI$3:$AK$18,3,0)</f>
        <v>Ian Phillips</v>
      </c>
      <c r="D14" s="1">
        <f>AB12</f>
        <v>3</v>
      </c>
      <c r="E14" s="2"/>
      <c r="J14" s="2"/>
      <c r="T14" s="2"/>
      <c r="AI14">
        <f>IF(A14=F15,A16,A14)</f>
        <v>12</v>
      </c>
      <c r="AJ14">
        <f t="shared" si="4"/>
        <v>420</v>
      </c>
      <c r="AK14" t="str">
        <f t="shared" si="5"/>
        <v>Harry Love</v>
      </c>
    </row>
    <row r="15" spans="1:37" x14ac:dyDescent="0.3">
      <c r="A15" s="3"/>
      <c r="E15" s="2"/>
      <c r="F15" s="1">
        <f>IF(AND(D14=0,D16=0),"",IF(D14&gt;D16,A14,A16))</f>
        <v>5</v>
      </c>
      <c r="G15" s="1">
        <f>IF(AND(D14=0,D16=0),"",IF(D14&gt;D16,B14,B16))</f>
        <v>41</v>
      </c>
      <c r="H15" s="1" t="str">
        <f>IF(AND(D14=0,D16=0),"",IF(D14&gt;D16,C14,C16))</f>
        <v>Ian Phillips</v>
      </c>
      <c r="I15" s="1">
        <f>AB31</f>
        <v>0</v>
      </c>
      <c r="J15" s="2"/>
      <c r="T15" s="2"/>
      <c r="Y15" s="1">
        <f>A18</f>
        <v>2</v>
      </c>
      <c r="Z15" s="1">
        <f t="shared" ref="Z15:AA15" si="10">B18</f>
        <v>128</v>
      </c>
      <c r="AA15" s="1" t="str">
        <f t="shared" si="10"/>
        <v>Lwi Edwards</v>
      </c>
      <c r="AB15" s="4">
        <v>3</v>
      </c>
      <c r="AD15" t="s">
        <v>89</v>
      </c>
      <c r="AE15" t="s">
        <v>63</v>
      </c>
      <c r="AF15" t="s">
        <v>90</v>
      </c>
      <c r="AG15" t="s">
        <v>92</v>
      </c>
      <c r="AI15">
        <f>IF(A18=F19,A20,A18)</f>
        <v>15</v>
      </c>
      <c r="AJ15">
        <f t="shared" si="4"/>
        <v>55</v>
      </c>
      <c r="AK15" t="str">
        <f t="shared" si="5"/>
        <v>Oliver Evans</v>
      </c>
    </row>
    <row r="16" spans="1:37" x14ac:dyDescent="0.3">
      <c r="A16" s="1">
        <v>12</v>
      </c>
      <c r="B16" s="1">
        <f>VLOOKUP(A16,'Round 2'!$AI$3:$AK$18,2,0)</f>
        <v>420</v>
      </c>
      <c r="C16" s="1" t="str">
        <f>VLOOKUP(A16,'Round 2'!$AI$3:$AK$18,3,0)</f>
        <v>Harry Love</v>
      </c>
      <c r="D16" s="1">
        <f>AB13</f>
        <v>0</v>
      </c>
      <c r="E16" s="2"/>
      <c r="T16" s="2"/>
      <c r="Y16" s="1">
        <f>A20</f>
        <v>15</v>
      </c>
      <c r="Z16" s="1">
        <f t="shared" ref="Z16:AA16" si="11">B20</f>
        <v>55</v>
      </c>
      <c r="AA16" s="1" t="str">
        <f t="shared" si="11"/>
        <v>Oliver Evans</v>
      </c>
      <c r="AB16" s="4"/>
      <c r="AD16">
        <v>1</v>
      </c>
      <c r="AE16">
        <f>V17</f>
        <v>128</v>
      </c>
      <c r="AF16" t="str">
        <f>W17</f>
        <v>Lwi Edwards</v>
      </c>
      <c r="AG16">
        <v>50</v>
      </c>
      <c r="AI16">
        <f>IF(A22=F23,A24,A22)</f>
        <v>10</v>
      </c>
      <c r="AJ16">
        <f t="shared" si="4"/>
        <v>66</v>
      </c>
      <c r="AK16" t="str">
        <f t="shared" si="5"/>
        <v>Andy Frost</v>
      </c>
    </row>
    <row r="17" spans="1:37" x14ac:dyDescent="0.3">
      <c r="T17" s="2"/>
      <c r="U17" s="5">
        <f>IF(AND(S9=0,S25=0),"",IF(S9&gt;S25,P9,P25))</f>
        <v>2</v>
      </c>
      <c r="V17" s="5">
        <f>IF(AND(S9=0,S25=0),"",IF(S9&gt;S25,Q9,Q25))</f>
        <v>128</v>
      </c>
      <c r="W17" s="5" t="str">
        <f>IF(AND(S9=0,S25=0),"",IF(S9&gt;S25,R9,R25))</f>
        <v>Lwi Edwards</v>
      </c>
      <c r="AD17">
        <v>2</v>
      </c>
      <c r="AE17">
        <f>IF(V17="","",IF(Q9=V17,Q25,Q9))</f>
        <v>61</v>
      </c>
      <c r="AF17" t="str">
        <f>IF(W17="","",IF(R9=W17,R25,R9))</f>
        <v>Martin Richards</v>
      </c>
      <c r="AG17">
        <v>40</v>
      </c>
      <c r="AI17">
        <f>IF(A26=F27,A28,A26)</f>
        <v>14</v>
      </c>
      <c r="AJ17">
        <f t="shared" si="4"/>
        <v>22</v>
      </c>
      <c r="AK17" t="str">
        <f t="shared" si="5"/>
        <v>Joel Conlan</v>
      </c>
    </row>
    <row r="18" spans="1:37" x14ac:dyDescent="0.3">
      <c r="A18" s="1">
        <v>2</v>
      </c>
      <c r="B18" s="1">
        <f>VLOOKUP(A18,'Round 2'!$AI$3:$AK$18,2,0)</f>
        <v>128</v>
      </c>
      <c r="C18" s="1" t="str">
        <f>VLOOKUP(A18,'Round 2'!$AI$3:$AK$18,3,0)</f>
        <v>Lwi Edwards</v>
      </c>
      <c r="D18" s="1">
        <f>AB15</f>
        <v>3</v>
      </c>
      <c r="E18" s="2"/>
      <c r="T18" s="2"/>
      <c r="Y18" s="1">
        <f>A22</f>
        <v>7</v>
      </c>
      <c r="Z18" s="1">
        <f t="shared" ref="Z18:AA18" si="12">B22</f>
        <v>86</v>
      </c>
      <c r="AA18" s="1" t="str">
        <f t="shared" si="12"/>
        <v>David Bastin</v>
      </c>
      <c r="AB18" s="4">
        <v>3</v>
      </c>
      <c r="AD18">
        <v>3</v>
      </c>
      <c r="AE18">
        <f>IF(AG9&gt;AG10,AE9,IF(AG10&gt;AG9,AE10,IF(AD9&lt;AD10,AE9,AE10)))</f>
        <v>93</v>
      </c>
      <c r="AF18" t="str">
        <f>IF(AG9&gt;AG10,AF9,IF(AG10&gt;AG9,AF10,IF(AD9&lt;AD10,AF9,AF10)))</f>
        <v>Josh King</v>
      </c>
      <c r="AG18">
        <v>30</v>
      </c>
      <c r="AI18">
        <f>IF(A30=F31,A32,A30)</f>
        <v>11</v>
      </c>
      <c r="AJ18">
        <f t="shared" si="4"/>
        <v>112</v>
      </c>
      <c r="AK18" t="str">
        <f t="shared" si="5"/>
        <v>Nathan Chivers</v>
      </c>
    </row>
    <row r="19" spans="1:37" x14ac:dyDescent="0.3">
      <c r="A19" s="3"/>
      <c r="E19" s="2"/>
      <c r="F19" s="1">
        <f>IF(AND(D18=0,D20=0),"",IF(D18&gt;D20,A18,A20))</f>
        <v>2</v>
      </c>
      <c r="G19" s="1">
        <f>IF(AND(D18=0,D20=0),"",IF(D18&gt;D20,B18,B20))</f>
        <v>128</v>
      </c>
      <c r="H19" s="1" t="str">
        <f>IF(AND(D18=0,D20=0),"",IF(D18&gt;D20,C18,C20))</f>
        <v>Lwi Edwards</v>
      </c>
      <c r="I19" s="1">
        <f>AB33</f>
        <v>3</v>
      </c>
      <c r="J19" s="2"/>
      <c r="T19" s="2"/>
      <c r="Y19" s="1">
        <f>A24</f>
        <v>10</v>
      </c>
      <c r="Z19" s="1">
        <f t="shared" ref="Z19:AA19" si="13">B24</f>
        <v>66</v>
      </c>
      <c r="AA19" s="1" t="str">
        <f t="shared" si="13"/>
        <v>Andy Frost</v>
      </c>
      <c r="AB19" s="4"/>
      <c r="AD19">
        <v>4</v>
      </c>
      <c r="AE19">
        <f>IF(AG9&gt;AG10,AE10,IF(AG10&gt;AG9,AE9,IF(AD9&lt;AD10,AE10,AE9)))</f>
        <v>94</v>
      </c>
      <c r="AF19" t="str">
        <f>IF(AG9&gt;AG10,AF10,IF(AG10&gt;AG9,AF9,IF(AD9&lt;AD10,AF10,AF9)))</f>
        <v>Paul Cunnington</v>
      </c>
      <c r="AG19">
        <v>25</v>
      </c>
    </row>
    <row r="20" spans="1:37" x14ac:dyDescent="0.3">
      <c r="A20" s="1">
        <v>15</v>
      </c>
      <c r="B20" s="1">
        <f>VLOOKUP(A20,'Round 2'!$AI$3:$AK$18,2,0)</f>
        <v>55</v>
      </c>
      <c r="C20" s="1" t="str">
        <f>VLOOKUP(A20,'Round 2'!$AI$3:$AK$18,3,0)</f>
        <v>Oliver Evans</v>
      </c>
      <c r="D20" s="1">
        <f>AB16</f>
        <v>0</v>
      </c>
      <c r="E20" s="2"/>
      <c r="J20" s="2"/>
      <c r="T20" s="2"/>
      <c r="AD20">
        <v>5</v>
      </c>
      <c r="AE20">
        <f>IF(OR($L$5="",$L$13="",$L$21="",$L$29=""),"",VLOOKUP(SMALL($AI$6:$AI$9,1),$AI$6:$AK$9,2,0))</f>
        <v>41</v>
      </c>
      <c r="AF20" t="str">
        <f>IF(OR($L$5="",$L$13="",$L$21="",$L$29=""),"",VLOOKUP(SMALL($AI$6:$AI$9,1),$AI$6:$AK$9,3,0))</f>
        <v>Ian Phillips</v>
      </c>
      <c r="AG20">
        <v>20</v>
      </c>
    </row>
    <row r="21" spans="1:37" x14ac:dyDescent="0.3">
      <c r="J21" s="2"/>
      <c r="K21" s="1">
        <f>IF(AND(I19=0,I23=0),"",IF(I19&gt;I23,F19,F23))</f>
        <v>2</v>
      </c>
      <c r="L21" s="1">
        <f>IF(AND(I19=0,I23=0),"",IF(I19&gt;I23,G19,G23))</f>
        <v>128</v>
      </c>
      <c r="M21" s="1" t="str">
        <f>IF(AND(I19=0,I23=0),"",IF(I19&gt;I23,H19,H23))</f>
        <v>Lwi Edwards</v>
      </c>
      <c r="N21" s="1">
        <f>AG6</f>
        <v>3</v>
      </c>
      <c r="O21" s="2"/>
      <c r="T21" s="2"/>
      <c r="Y21" s="1">
        <f>A26</f>
        <v>3</v>
      </c>
      <c r="Z21" s="1">
        <f t="shared" ref="Z21:AA21" si="14">B26</f>
        <v>94</v>
      </c>
      <c r="AA21" s="1" t="str">
        <f t="shared" si="14"/>
        <v>Paul Cunnington</v>
      </c>
      <c r="AB21" s="4">
        <v>3</v>
      </c>
      <c r="AD21">
        <v>6</v>
      </c>
      <c r="AE21">
        <f>IF(OR($L$5="",$L$13="",$L$21="",$L$29=""),"",VLOOKUP(SMALL($AI$6:$AI$9,2),$AI$6:$AK$9,2,0))</f>
        <v>366</v>
      </c>
      <c r="AF21" t="str">
        <f>IF(OR($L$5="",$L$13="",$L$21="",$L$29=""),"",VLOOKUP(SMALL($AI$6:$AI$9,2),$AI$6:$AK$9,3,0))</f>
        <v>Micheal Bennett</v>
      </c>
      <c r="AG21">
        <v>20</v>
      </c>
    </row>
    <row r="22" spans="1:37" x14ac:dyDescent="0.3">
      <c r="A22" s="1">
        <v>7</v>
      </c>
      <c r="B22" s="1">
        <f>VLOOKUP(A22,'Round 2'!$AI$3:$AK$18,2,0)</f>
        <v>86</v>
      </c>
      <c r="C22" s="1" t="str">
        <f>VLOOKUP(A22,'Round 2'!$AI$3:$AK$18,3,0)</f>
        <v>David Bastin</v>
      </c>
      <c r="D22" s="1">
        <f>AB18</f>
        <v>3</v>
      </c>
      <c r="E22" s="2"/>
      <c r="J22" s="2"/>
      <c r="O22" s="2"/>
      <c r="T22" s="2"/>
      <c r="Y22" s="1">
        <f>A28</f>
        <v>14</v>
      </c>
      <c r="Z22" s="1">
        <f t="shared" ref="Z22:AA22" si="15">B28</f>
        <v>22</v>
      </c>
      <c r="AA22" s="1" t="str">
        <f t="shared" si="15"/>
        <v>Joel Conlan</v>
      </c>
      <c r="AB22" s="4"/>
      <c r="AD22">
        <v>7</v>
      </c>
      <c r="AE22">
        <f>IF(OR($L$5="",$L$13="",$L$21="",$L$29=""),"",VLOOKUP(SMALL($AI$6:$AI$9,3),$AI$6:$AK$9,2,0))</f>
        <v>86</v>
      </c>
      <c r="AF22" t="str">
        <f>IF(OR($L$5="",$L$13="",$L$21="",$L$29=""),"",VLOOKUP(SMALL($AI$6:$AI$9,3),$AI$6:$AK$9,3,0))</f>
        <v>David Bastin</v>
      </c>
      <c r="AG22">
        <v>20</v>
      </c>
    </row>
    <row r="23" spans="1:37" x14ac:dyDescent="0.3">
      <c r="A23" s="3"/>
      <c r="E23" s="2"/>
      <c r="F23" s="1">
        <f>IF(AND(D22=0,D24=0),"",IF(D22&gt;D24,A22,A24))</f>
        <v>7</v>
      </c>
      <c r="G23" s="1">
        <f>IF(AND(D22=0,D24=0),"",IF(D22&gt;D24,B22,B24))</f>
        <v>86</v>
      </c>
      <c r="H23" s="1" t="str">
        <f>IF(AND(D22=0,D24=0),"",IF(D22&gt;D24,C22,C24))</f>
        <v>David Bastin</v>
      </c>
      <c r="I23" s="1">
        <f>AB34</f>
        <v>0</v>
      </c>
      <c r="J23" s="2"/>
      <c r="O23" s="2"/>
      <c r="T23" s="2"/>
      <c r="AD23">
        <v>8</v>
      </c>
      <c r="AE23">
        <f>IF(OR($L$5="",$L$13="",$L$21="",$L$29=""),"",VLOOKUP(SMALL($AI$6:$AI$9,4),$AI$6:$AK$9,2,0))</f>
        <v>147</v>
      </c>
      <c r="AF23" t="str">
        <f>IF(OR($L$5="",$L$13="",$L$21="",$L$29=""),"",VLOOKUP(SMALL($AI$6:$AI$9,4),$AI$6:$AK$9,3,0))</f>
        <v>Richie Gilbey</v>
      </c>
      <c r="AG23">
        <v>20</v>
      </c>
    </row>
    <row r="24" spans="1:37" x14ac:dyDescent="0.3">
      <c r="A24" s="1">
        <v>10</v>
      </c>
      <c r="B24" s="1">
        <f>VLOOKUP(A24,'Round 2'!$AI$3:$AK$18,2,0)</f>
        <v>66</v>
      </c>
      <c r="C24" s="1" t="str">
        <f>VLOOKUP(A24,'Round 2'!$AI$3:$AK$18,3,0)</f>
        <v>Andy Frost</v>
      </c>
      <c r="D24" s="1">
        <f>AB19</f>
        <v>0</v>
      </c>
      <c r="E24" s="2"/>
      <c r="O24" s="2"/>
      <c r="T24" s="2"/>
      <c r="Y24" s="1">
        <f>A30</f>
        <v>6</v>
      </c>
      <c r="Z24" s="1">
        <f t="shared" ref="Z24:AA24" si="16">B30</f>
        <v>366</v>
      </c>
      <c r="AA24" s="1" t="str">
        <f t="shared" si="16"/>
        <v>Micheal Bennett</v>
      </c>
      <c r="AB24" s="4">
        <v>3</v>
      </c>
      <c r="AD24">
        <v>9</v>
      </c>
      <c r="AE24">
        <f>IF(OR($G$3="",$G$7="",$G$11="",$G$15="",$G$19="",$G$23="",$G$27="",$G$31=""),"",VLOOKUP(SMALL($AI$11:$AI$18,1),$AI$11:$AK$18,2,0))</f>
        <v>26</v>
      </c>
      <c r="AF24" t="str">
        <f>IF(OR($G$3="",$G$7="",$G$11="",$G$15="",$G$19="",$G$23="",$G$27="",$G$31=""),"",VLOOKUP(SMALL($AI$11:$AI$18,1),$AI$11:$AK$18,3,0))</f>
        <v>Haydn Cruickshank</v>
      </c>
      <c r="AG24">
        <v>10</v>
      </c>
    </row>
    <row r="25" spans="1:37" x14ac:dyDescent="0.3">
      <c r="O25" s="2"/>
      <c r="P25" s="1">
        <f>IF(AND(N21=0,N29=0),"",IF(N21&gt;N29,K21,K29))</f>
        <v>2</v>
      </c>
      <c r="Q25" s="1">
        <f>IF(AND(N21=0,N29=0),"",IF(N21&gt;N29,L21,L29))</f>
        <v>128</v>
      </c>
      <c r="R25" s="1" t="str">
        <f>IF(AND(N21=0,N29=0),"",IF(N21&gt;N29,M21,M29))</f>
        <v>Lwi Edwards</v>
      </c>
      <c r="S25" s="1">
        <f>AG13</f>
        <v>3</v>
      </c>
      <c r="T25" s="2"/>
      <c r="Y25" s="1">
        <f>A32</f>
        <v>11</v>
      </c>
      <c r="Z25" s="1">
        <f t="shared" ref="Z25:AA25" si="17">B32</f>
        <v>112</v>
      </c>
      <c r="AA25" s="1" t="str">
        <f t="shared" si="17"/>
        <v>Nathan Chivers</v>
      </c>
      <c r="AB25" s="4"/>
      <c r="AD25">
        <v>10</v>
      </c>
      <c r="AE25">
        <f>IF(OR($G$3="",$G$7="",$G$11="",$G$15="",$G$19="",$G$23="",$G$27="",$G$31=""),"",VLOOKUP(SMALL($AI$11:$AI$18,2),$AI$11:$AK$18,2,0))</f>
        <v>66</v>
      </c>
      <c r="AF25" t="str">
        <f>IF(OR($G$3="",$G$7="",$G$11="",$G$15="",$G$19="",$G$23="",$G$27="",$G$31=""),"",VLOOKUP(SMALL($AI$11:$AI$18,2),$AI$11:$AK$18,3,0))</f>
        <v>Andy Frost</v>
      </c>
      <c r="AG25">
        <v>10</v>
      </c>
    </row>
    <row r="26" spans="1:37" x14ac:dyDescent="0.3">
      <c r="A26" s="1">
        <v>3</v>
      </c>
      <c r="B26" s="1">
        <f>VLOOKUP(A26,'Round 2'!$AI$3:$AK$18,2,0)</f>
        <v>94</v>
      </c>
      <c r="C26" s="1" t="str">
        <f>VLOOKUP(A26,'Round 2'!$AI$3:$AK$18,3,0)</f>
        <v>Paul Cunnington</v>
      </c>
      <c r="D26" s="1">
        <f>AB21</f>
        <v>3</v>
      </c>
      <c r="E26" s="2"/>
      <c r="O26" s="2"/>
      <c r="Y26" s="2"/>
      <c r="Z26" s="2"/>
      <c r="AA26" s="2"/>
      <c r="AB26" s="2"/>
      <c r="AD26">
        <v>11</v>
      </c>
      <c r="AE26">
        <f>IF(OR($G$3="",$G$7="",$G$11="",$G$15="",$G$19="",$G$23="",$G$27="",$G$31=""),"",VLOOKUP(SMALL($AI$11:$AI$18,3),$AI$11:$AK$18,2,0))</f>
        <v>112</v>
      </c>
      <c r="AF26" t="str">
        <f>IF(OR($G$3="",$G$7="",$G$11="",$G$15="",$G$19="",$G$23="",$G$27="",$G$31=""),"",VLOOKUP(SMALL($AI$11:$AI$18,3),$AI$11:$AK$18,3,0))</f>
        <v>Nathan Chivers</v>
      </c>
      <c r="AG26">
        <v>10</v>
      </c>
    </row>
    <row r="27" spans="1:37" x14ac:dyDescent="0.3">
      <c r="A27" s="3"/>
      <c r="E27" s="2"/>
      <c r="F27" s="1">
        <f>IF(AND(D26=0,D28=0),"",IF(D26&gt;D28,A26,A28))</f>
        <v>3</v>
      </c>
      <c r="G27" s="1">
        <f>IF(AND(D26=0,D28=0),"",IF(D26&gt;D28,B26,B28))</f>
        <v>94</v>
      </c>
      <c r="H27" s="1" t="str">
        <f>IF(AND(D26=0,D28=0),"",IF(D26&gt;D28,C26,C28))</f>
        <v>Paul Cunnington</v>
      </c>
      <c r="I27" s="1">
        <f>AB36</f>
        <v>3</v>
      </c>
      <c r="J27" s="2"/>
      <c r="O27" s="2"/>
      <c r="Y27" s="1">
        <f>F3</f>
        <v>1</v>
      </c>
      <c r="Z27" s="1">
        <f t="shared" ref="Z27:AA27" si="18">G3</f>
        <v>93</v>
      </c>
      <c r="AA27" s="1" t="str">
        <f t="shared" si="18"/>
        <v>Josh King</v>
      </c>
      <c r="AB27" s="4">
        <v>3</v>
      </c>
      <c r="AD27">
        <v>12</v>
      </c>
      <c r="AE27">
        <f>IF(OR($G$3="",$G$7="",$G$11="",$G$15="",$G$19="",$G$23="",$G$27="",$G$31=""),"",VLOOKUP(SMALL($AI$11:$AI$18,4),$AI$11:$AK$18,2,0))</f>
        <v>420</v>
      </c>
      <c r="AF27" t="str">
        <f>IF(OR($G$3="",$G$7="",$G$11="",$G$15="",$G$19="",$G$23="",$G$27="",$G$31=""),"",VLOOKUP(SMALL($AI$11:$AI$18,4),$AI$11:$AK$18,3,0))</f>
        <v>Harry Love</v>
      </c>
      <c r="AG27">
        <v>10</v>
      </c>
    </row>
    <row r="28" spans="1:37" x14ac:dyDescent="0.3">
      <c r="A28" s="1">
        <v>14</v>
      </c>
      <c r="B28" s="1">
        <f>VLOOKUP(A28,'Round 2'!$AI$3:$AK$18,2,0)</f>
        <v>22</v>
      </c>
      <c r="C28" s="1" t="str">
        <f>VLOOKUP(A28,'Round 2'!$AI$3:$AK$18,3,0)</f>
        <v>Joel Conlan</v>
      </c>
      <c r="D28" s="1">
        <f>AB22</f>
        <v>0</v>
      </c>
      <c r="E28" s="2"/>
      <c r="J28" s="2"/>
      <c r="O28" s="2"/>
      <c r="Y28" s="1">
        <f>F7</f>
        <v>8</v>
      </c>
      <c r="Z28" s="1">
        <f t="shared" ref="Z28:AA28" si="19">G7</f>
        <v>147</v>
      </c>
      <c r="AA28" s="1" t="str">
        <f t="shared" si="19"/>
        <v>Richie Gilbey</v>
      </c>
      <c r="AB28" s="4"/>
      <c r="AD28">
        <v>13</v>
      </c>
      <c r="AE28">
        <f>IF(OR($G$3="",$G$7="",$G$11="",$G$15="",$G$19="",$G$23="",$G$27="",$G$31=""),"",VLOOKUP(SMALL($AI$11:$AI$18,5),$AI$11:$AK$18,2,0))</f>
        <v>39</v>
      </c>
      <c r="AF28" t="str">
        <f>IF(OR($G$3="",$G$7="",$G$11="",$G$15="",$G$19="",$G$23="",$G$27="",$G$31=""),"",VLOOKUP(SMALL($AI$11:$AI$18,5),$AI$11:$AK$18,3,0))</f>
        <v>Paul Beechey</v>
      </c>
      <c r="AG28">
        <v>10</v>
      </c>
    </row>
    <row r="29" spans="1:37" x14ac:dyDescent="0.3">
      <c r="J29" s="2"/>
      <c r="K29" s="1">
        <f>IF(AND(I27=0,I31=0),"",IF(I27&gt;I31,F27,F31))</f>
        <v>3</v>
      </c>
      <c r="L29" s="1">
        <f>IF(AND(I27=0,I31=0),"",IF(I27&gt;I31,G27,G31))</f>
        <v>94</v>
      </c>
      <c r="M29" s="1" t="str">
        <f>IF(AND(I27=0,I31=0),"",IF(I27&gt;I31,H27,H31))</f>
        <v>Paul Cunnington</v>
      </c>
      <c r="N29" s="1">
        <f>AG7</f>
        <v>0</v>
      </c>
      <c r="O29" s="2"/>
      <c r="AD29">
        <v>14</v>
      </c>
      <c r="AE29">
        <f>IF(OR($G$3="",$G$7="",$G$11="",$G$15="",$G$19="",$G$23="",$G$27="",$G$31=""),"",VLOOKUP(SMALL($AI$11:$AI$18,6),$AI$11:$AK$18,2,0))</f>
        <v>22</v>
      </c>
      <c r="AF29" t="str">
        <f>IF(OR($G$3="",$G$7="",$G$11="",$G$15="",$G$19="",$G$23="",$G$27="",$G$31=""),"",VLOOKUP(SMALL($AI$11:$AI$18,6),$AI$11:$AK$18,3,0))</f>
        <v>Joel Conlan</v>
      </c>
      <c r="AG29">
        <v>1</v>
      </c>
    </row>
    <row r="30" spans="1:37" x14ac:dyDescent="0.3">
      <c r="A30" s="1">
        <v>6</v>
      </c>
      <c r="B30" s="1">
        <f>VLOOKUP(A30,'Round 2'!$AI$3:$AK$18,2,0)</f>
        <v>366</v>
      </c>
      <c r="C30" s="1" t="str">
        <f>VLOOKUP(A30,'Round 2'!$AI$3:$AK$18,3,0)</f>
        <v>Micheal Bennett</v>
      </c>
      <c r="D30" s="1">
        <f>AB24</f>
        <v>3</v>
      </c>
      <c r="E30" s="2"/>
      <c r="J30" s="2"/>
      <c r="Y30" s="1">
        <f>F11</f>
        <v>4</v>
      </c>
      <c r="Z30" s="1">
        <f t="shared" ref="Z30:AA30" si="20">G11</f>
        <v>61</v>
      </c>
      <c r="AA30" s="1" t="str">
        <f t="shared" si="20"/>
        <v>Martin Richards</v>
      </c>
      <c r="AB30" s="4">
        <v>3</v>
      </c>
      <c r="AD30">
        <v>15</v>
      </c>
      <c r="AE30">
        <f>IF(OR($G$3="",$G$7="",$G$11="",$G$15="",$G$19="",$G$23="",$G$27="",$G$31=""),"",VLOOKUP(SMALL($AI$11:$AI$18,7),$AI$11:$AK$18,2,0))</f>
        <v>55</v>
      </c>
      <c r="AF30" t="str">
        <f>IF(OR($G$3="",$G$7="",$G$11="",$G$15="",$G$19="",$G$23="",$G$27="",$G$31=""),"",VLOOKUP(SMALL($AI$11:$AI$18,7),$AI$11:$AK$18,3,0))</f>
        <v>Oliver Evans</v>
      </c>
      <c r="AG30">
        <v>1</v>
      </c>
    </row>
    <row r="31" spans="1:37" x14ac:dyDescent="0.3">
      <c r="A31" s="3"/>
      <c r="E31" s="2"/>
      <c r="F31" s="1">
        <f>IF(AND(D30=0,D32=0),"",IF(D30&gt;D32,A30,A32))</f>
        <v>6</v>
      </c>
      <c r="G31" s="1">
        <f>IF(AND(D30=0,D32=0),"",IF(D30&gt;D32,B30,B32))</f>
        <v>366</v>
      </c>
      <c r="H31" s="1" t="str">
        <f>IF(AND(D30=0,D32=0),"",IF(D30&gt;D32,C30,C32))</f>
        <v>Micheal Bennett</v>
      </c>
      <c r="I31" s="1">
        <f>AB37</f>
        <v>0</v>
      </c>
      <c r="J31" s="2"/>
      <c r="P31" s="1">
        <f>AD9</f>
        <v>1</v>
      </c>
      <c r="Q31" s="1">
        <f>AE9</f>
        <v>93</v>
      </c>
      <c r="R31" s="1" t="str">
        <f>AF9</f>
        <v>Josh King</v>
      </c>
      <c r="S31" s="1">
        <f>AG9</f>
        <v>3</v>
      </c>
      <c r="T31" s="2"/>
      <c r="Y31" s="1">
        <f>F15</f>
        <v>5</v>
      </c>
      <c r="Z31" s="1">
        <f t="shared" ref="Z31:AA31" si="21">G15</f>
        <v>41</v>
      </c>
      <c r="AA31" s="1" t="str">
        <f t="shared" si="21"/>
        <v>Ian Phillips</v>
      </c>
      <c r="AB31" s="4"/>
      <c r="AD31">
        <v>16</v>
      </c>
      <c r="AE31">
        <f>IF(OR($G$3="",$G$7="",$G$11="",$G$15="",$G$19="",$G$23="",$G$27="",$G$31=""),"",VLOOKUP(SMALL($AI$11:$AI$18,8),$AI$11:$AK$18,2,0))</f>
        <v>265</v>
      </c>
      <c r="AF31" t="str">
        <f>IF(OR($G$3="",$G$7="",$G$11="",$G$15="",$G$19="",$G$23="",$G$27="",$G$31=""),"",VLOOKUP(SMALL($AI$11:$AI$18,8),$AI$11:$AK$18,3,0))</f>
        <v>Axel Hildebrand</v>
      </c>
      <c r="AG31">
        <v>1</v>
      </c>
    </row>
    <row r="32" spans="1:37" x14ac:dyDescent="0.3">
      <c r="A32" s="1">
        <v>11</v>
      </c>
      <c r="B32" s="1">
        <f>VLOOKUP(A32,'Round 2'!$AI$3:$AK$18,2,0)</f>
        <v>112</v>
      </c>
      <c r="C32" s="1" t="str">
        <f>VLOOKUP(A32,'Round 2'!$AI$3:$AK$18,3,0)</f>
        <v>Nathan Chivers</v>
      </c>
      <c r="D32" s="1">
        <f>AB25</f>
        <v>0</v>
      </c>
      <c r="E32" s="2"/>
      <c r="T32" s="2"/>
      <c r="U32" s="1"/>
      <c r="V32" s="1">
        <f>AE18</f>
        <v>93</v>
      </c>
      <c r="W32" s="1" t="str">
        <f>AF18</f>
        <v>Josh King</v>
      </c>
      <c r="AD32">
        <v>17</v>
      </c>
      <c r="AE32">
        <f>VLOOKUP(Table59[[#This Row],[Final]],'Round 2'!$X$19:$AG$27,3,0)</f>
        <v>666</v>
      </c>
      <c r="AF32" t="str">
        <f>VLOOKUP(Table59[[#This Row],[Final]],'Round 2'!$X$19:$AG$27,4,0)</f>
        <v>Ryan Toporowski</v>
      </c>
      <c r="AG32">
        <f>VLOOKUP(Table59[[#This Row],[Final]],'Round 2'!$X$19:$AG$27,10,0)</f>
        <v>1</v>
      </c>
    </row>
    <row r="33" spans="16:33" x14ac:dyDescent="0.3">
      <c r="P33" s="1">
        <f>AD10</f>
        <v>3</v>
      </c>
      <c r="Q33" s="1">
        <f>AE10</f>
        <v>94</v>
      </c>
      <c r="R33" s="1" t="str">
        <f>AF10</f>
        <v>Paul Cunnington</v>
      </c>
      <c r="S33" s="1">
        <f>AG10</f>
        <v>0</v>
      </c>
      <c r="T33" s="2"/>
      <c r="Y33" s="1">
        <f>F19</f>
        <v>2</v>
      </c>
      <c r="Z33" s="1">
        <f>G19</f>
        <v>128</v>
      </c>
      <c r="AA33" s="1" t="str">
        <f>H19</f>
        <v>Lwi Edwards</v>
      </c>
      <c r="AB33" s="4">
        <v>3</v>
      </c>
      <c r="AD33">
        <v>18</v>
      </c>
      <c r="AE33" t="e">
        <f>VLOOKUP(Table59[[#This Row],[Final]],'Round 2'!$X$19:$AG$27,3,0)</f>
        <v>#N/A</v>
      </c>
      <c r="AF33" t="e">
        <f>VLOOKUP(Table59[[#This Row],[Final]],'Round 2'!$X$19:$AG$27,4,0)</f>
        <v>#N/A</v>
      </c>
      <c r="AG33" t="e">
        <f>VLOOKUP(Table59[[#This Row],[Final]],'Round 2'!$X$19:$AG$27,10,0)</f>
        <v>#N/A</v>
      </c>
    </row>
    <row r="34" spans="16:33" x14ac:dyDescent="0.3">
      <c r="Y34" s="1">
        <f>F23</f>
        <v>7</v>
      </c>
      <c r="Z34" s="1">
        <f>G23</f>
        <v>86</v>
      </c>
      <c r="AA34" s="1" t="str">
        <f>H23</f>
        <v>David Bastin</v>
      </c>
      <c r="AB34" s="4"/>
      <c r="AD34">
        <v>19</v>
      </c>
      <c r="AE34" t="e">
        <f>VLOOKUP(Table59[[#This Row],[Final]],'Round 2'!$X$19:$AG$27,3,0)</f>
        <v>#N/A</v>
      </c>
      <c r="AF34" t="e">
        <f>VLOOKUP(Table59[[#This Row],[Final]],'Round 2'!$X$19:$AG$27,4,0)</f>
        <v>#N/A</v>
      </c>
      <c r="AG34" t="e">
        <f>VLOOKUP(Table59[[#This Row],[Final]],'Round 2'!$X$19:$AG$27,10,0)</f>
        <v>#N/A</v>
      </c>
    </row>
    <row r="35" spans="16:33" x14ac:dyDescent="0.3">
      <c r="AD35">
        <v>20</v>
      </c>
      <c r="AE35" t="e">
        <f>VLOOKUP(Table59[[#This Row],[Final]],'Round 2'!$X$19:$AG$27,3,0)</f>
        <v>#N/A</v>
      </c>
      <c r="AF35" t="e">
        <f>VLOOKUP(Table59[[#This Row],[Final]],'Round 2'!$X$19:$AG$27,4,0)</f>
        <v>#N/A</v>
      </c>
      <c r="AG35" t="e">
        <f>VLOOKUP(Table59[[#This Row],[Final]],'Round 2'!$X$19:$AG$27,10,0)</f>
        <v>#N/A</v>
      </c>
    </row>
    <row r="36" spans="16:33" x14ac:dyDescent="0.3">
      <c r="Y36" s="1">
        <f>F27</f>
        <v>3</v>
      </c>
      <c r="Z36" s="1">
        <f>G27</f>
        <v>94</v>
      </c>
      <c r="AA36" s="1" t="str">
        <f>H27</f>
        <v>Paul Cunnington</v>
      </c>
      <c r="AB36" s="4">
        <v>3</v>
      </c>
      <c r="AD36">
        <v>21</v>
      </c>
      <c r="AE36" t="e">
        <f>VLOOKUP(Table59[[#This Row],[Final]],'Round 2'!$X$19:$AG$27,3,0)</f>
        <v>#N/A</v>
      </c>
      <c r="AF36" t="e">
        <f>VLOOKUP(Table59[[#This Row],[Final]],'Round 2'!$X$19:$AG$27,4,0)</f>
        <v>#N/A</v>
      </c>
      <c r="AG36" t="e">
        <f>VLOOKUP(Table59[[#This Row],[Final]],'Round 2'!$X$19:$AG$27,10,0)</f>
        <v>#N/A</v>
      </c>
    </row>
    <row r="37" spans="16:33" x14ac:dyDescent="0.3">
      <c r="Y37" s="1">
        <f>F31</f>
        <v>6</v>
      </c>
      <c r="Z37" s="1">
        <f>G31</f>
        <v>366</v>
      </c>
      <c r="AA37" s="1" t="str">
        <f>H31</f>
        <v>Micheal Bennett</v>
      </c>
      <c r="AB37" s="4"/>
      <c r="AD37">
        <v>22</v>
      </c>
      <c r="AE37" t="e">
        <f>VLOOKUP(Table59[[#This Row],[Final]],'Round 2'!$X$19:$AG$27,3,0)</f>
        <v>#N/A</v>
      </c>
      <c r="AF37" t="e">
        <f>VLOOKUP(Table59[[#This Row],[Final]],'Round 2'!$X$19:$AG$27,4,0)</f>
        <v>#N/A</v>
      </c>
      <c r="AG37" t="e">
        <f>VLOOKUP(Table59[[#This Row],[Final]],'Round 2'!$X$19:$AG$27,10,0)</f>
        <v>#N/A</v>
      </c>
    </row>
    <row r="38" spans="16:33" x14ac:dyDescent="0.3">
      <c r="AD38">
        <v>23</v>
      </c>
      <c r="AE38" t="e">
        <f>VLOOKUP(Table59[[#This Row],[Final]],'Round 2'!$X$19:$AG$27,3,0)</f>
        <v>#N/A</v>
      </c>
      <c r="AF38" t="e">
        <f>VLOOKUP(Table59[[#This Row],[Final]],'Round 2'!$X$19:$AG$27,4,0)</f>
        <v>#N/A</v>
      </c>
      <c r="AG38" t="e">
        <f>VLOOKUP(Table59[[#This Row],[Final]],'Round 2'!$X$19:$AG$27,10,0)</f>
        <v>#N/A</v>
      </c>
    </row>
    <row r="39" spans="16:33" x14ac:dyDescent="0.3">
      <c r="AD39">
        <v>24</v>
      </c>
      <c r="AE39" t="e">
        <f>VLOOKUP(Table59[[#This Row],[Final]],'Round 2'!$X$19:$AG$27,3,0)</f>
        <v>#N/A</v>
      </c>
      <c r="AF39" t="e">
        <f>VLOOKUP(Table59[[#This Row],[Final]],'Round 2'!$X$19:$AG$27,4,0)</f>
        <v>#N/A</v>
      </c>
      <c r="AG39" t="e">
        <f>VLOOKUP(Table59[[#This Row],[Final]],'Round 2'!$X$19:$AG$27,10,0)</f>
        <v>#N/A</v>
      </c>
    </row>
    <row r="40" spans="16:33" x14ac:dyDescent="0.3">
      <c r="AD40">
        <v>25</v>
      </c>
      <c r="AE40" t="e">
        <f>VLOOKUP(Table59[[#This Row],[Final]],'Round 2'!$X$19:$AG$27,3,0)</f>
        <v>#N/A</v>
      </c>
      <c r="AF40" t="e">
        <f>VLOOKUP(Table59[[#This Row],[Final]],'Round 2'!$X$19:$AG$27,4,0)</f>
        <v>#N/A</v>
      </c>
      <c r="AG40" t="e">
        <f>VLOOKUP(Table59[[#This Row],[Final]],'Round 2'!$X$19:$AG$27,10,0)</f>
        <v>#N/A</v>
      </c>
    </row>
  </sheetData>
  <sheetProtection sheet="1" objects="1" scenarios="1"/>
  <conditionalFormatting sqref="A2:D2">
    <cfRule type="expression" dxfId="1217" priority="132">
      <formula>$D2&gt;$D4</formula>
    </cfRule>
    <cfRule type="expression" dxfId="1216" priority="130">
      <formula>$D2&lt;$D4</formula>
    </cfRule>
    <cfRule type="expression" dxfId="1215" priority="129">
      <formula>AND($D2=$D4,$A2&lt;$A4)</formula>
    </cfRule>
  </conditionalFormatting>
  <conditionalFormatting sqref="A4:D4">
    <cfRule type="expression" dxfId="1214" priority="128">
      <formula>$D4&lt;$D2</formula>
    </cfRule>
    <cfRule type="expression" dxfId="1213" priority="131">
      <formula>$D4&gt;$D2</formula>
    </cfRule>
    <cfRule type="expression" dxfId="1212" priority="127">
      <formula>AND($D4=$D2,$A4&lt;$A2)</formula>
    </cfRule>
  </conditionalFormatting>
  <conditionalFormatting sqref="A6:D6 A10:D10 A14:D14 A18:D18 A22:D22 A26:D26 A30:D30">
    <cfRule type="expression" dxfId="1211" priority="101">
      <formula>$D6&lt;$D8</formula>
    </cfRule>
    <cfRule type="expression" dxfId="1210" priority="100">
      <formula>AND($D6=$D8,$A6&lt;$A8)</formula>
    </cfRule>
    <cfRule type="expression" dxfId="1209" priority="102">
      <formula>$D6&gt;$D8</formula>
    </cfRule>
  </conditionalFormatting>
  <conditionalFormatting sqref="A8:D8 A12:D12 A16:D16 A20:D20 A24:D24 A28:D28 A32:D32">
    <cfRule type="expression" dxfId="1208" priority="99">
      <formula>$D8&gt;$D6</formula>
    </cfRule>
    <cfRule type="expression" dxfId="1207" priority="97">
      <formula>AND($D8=$D6,$A8&lt;$A6)</formula>
    </cfRule>
    <cfRule type="expression" dxfId="1206" priority="98">
      <formula>$D8&lt;$D6</formula>
    </cfRule>
  </conditionalFormatting>
  <conditionalFormatting sqref="F3:I3">
    <cfRule type="expression" dxfId="1205" priority="126">
      <formula>$I3&gt;$I7</formula>
    </cfRule>
    <cfRule type="expression" dxfId="1204" priority="125">
      <formula>$I3&lt;$I7</formula>
    </cfRule>
    <cfRule type="expression" dxfId="1203" priority="124">
      <formula>AND($I3=$I7,$F3&lt;$F7)</formula>
    </cfRule>
  </conditionalFormatting>
  <conditionalFormatting sqref="F7:I7">
    <cfRule type="expression" dxfId="1202" priority="120">
      <formula>$I7&gt;$I3</formula>
    </cfRule>
    <cfRule type="expression" dxfId="1201" priority="119">
      <formula>$I7&lt;$I3</formula>
    </cfRule>
    <cfRule type="expression" dxfId="1200" priority="118">
      <formula>AND($I7=$I3,$F7&lt;$F3)</formula>
    </cfRule>
  </conditionalFormatting>
  <conditionalFormatting sqref="F11:I11 F19:I19 F27:I27">
    <cfRule type="expression" dxfId="1199" priority="121">
      <formula>AND($I11=$I15,$F11&lt;$F15)</formula>
    </cfRule>
    <cfRule type="expression" dxfId="1198" priority="123">
      <formula>$I11&gt;$I15</formula>
    </cfRule>
    <cfRule type="expression" dxfId="1197" priority="122">
      <formula>$I11&lt;$I15</formula>
    </cfRule>
  </conditionalFormatting>
  <conditionalFormatting sqref="F15:I15 F23:I23 F31:I31">
    <cfRule type="expression" dxfId="1196" priority="116">
      <formula>$I15&lt;$I11</formula>
    </cfRule>
    <cfRule type="expression" dxfId="1195" priority="117">
      <formula>$I15&gt;$I11</formula>
    </cfRule>
    <cfRule type="expression" dxfId="1194" priority="115">
      <formula>AND($I15=$I11,$F15&lt;$F11)</formula>
    </cfRule>
  </conditionalFormatting>
  <conditionalFormatting sqref="K5:N5">
    <cfRule type="expression" dxfId="1193" priority="114">
      <formula>$N5&gt;$N13</formula>
    </cfRule>
    <cfRule type="expression" dxfId="1192" priority="113">
      <formula>$N5&lt;$N13</formula>
    </cfRule>
    <cfRule type="expression" dxfId="1191" priority="112">
      <formula>AND($N5=$N13,$K5&lt;$K13)</formula>
    </cfRule>
  </conditionalFormatting>
  <conditionalFormatting sqref="K13:N13">
    <cfRule type="expression" dxfId="1190" priority="106">
      <formula>AND($N13=$N5,$K13&lt;$K5)</formula>
    </cfRule>
    <cfRule type="expression" dxfId="1189" priority="108">
      <formula>$N13&gt;$N5</formula>
    </cfRule>
    <cfRule type="expression" dxfId="1188" priority="107">
      <formula>$N13&lt;$N5</formula>
    </cfRule>
  </conditionalFormatting>
  <conditionalFormatting sqref="K21:N21">
    <cfRule type="expression" dxfId="1187" priority="109">
      <formula>AND($N21=$N29,$K21&lt;$K29)</formula>
    </cfRule>
    <cfRule type="expression" dxfId="1186" priority="111">
      <formula>$N21&gt;$N29</formula>
    </cfRule>
    <cfRule type="expression" dxfId="1185" priority="110">
      <formula>$N21&lt;$N29</formula>
    </cfRule>
  </conditionalFormatting>
  <conditionalFormatting sqref="K29:N29">
    <cfRule type="expression" dxfId="1184" priority="105">
      <formula>$N29&gt;$N21</formula>
    </cfRule>
    <cfRule type="expression" dxfId="1183" priority="103">
      <formula>AND($N29=$N21,$K29&lt;$K21)</formula>
    </cfRule>
    <cfRule type="expression" dxfId="1182" priority="104">
      <formula>$N29&lt;$N21</formula>
    </cfRule>
  </conditionalFormatting>
  <conditionalFormatting sqref="P9:S9">
    <cfRule type="expression" dxfId="1181" priority="96">
      <formula>$S9&gt;$S25</formula>
    </cfRule>
    <cfRule type="expression" dxfId="1180" priority="95">
      <formula>$S9&lt;$S25</formula>
    </cfRule>
    <cfRule type="expression" dxfId="1179" priority="94">
      <formula>AND($S9=$S25,$P9&lt;$P25)</formula>
    </cfRule>
  </conditionalFormatting>
  <conditionalFormatting sqref="P25:S25">
    <cfRule type="expression" dxfId="1178" priority="93">
      <formula>$S25&gt;$S9</formula>
    </cfRule>
    <cfRule type="expression" dxfId="1177" priority="92">
      <formula>$S25&lt;$S9</formula>
    </cfRule>
    <cfRule type="expression" dxfId="1176" priority="91">
      <formula>AND($S25=$S9,$P25&lt;$P9)</formula>
    </cfRule>
  </conditionalFormatting>
  <conditionalFormatting sqref="Y3:AB3">
    <cfRule type="expression" dxfId="1175" priority="90">
      <formula>AND($AB3=$AB4,$Y3&lt;$Y4)</formula>
    </cfRule>
    <cfRule type="expression" dxfId="1174" priority="89">
      <formula>$AB3&gt;$AB4</formula>
    </cfRule>
    <cfRule type="expression" dxfId="1173" priority="88">
      <formula>$AB3&lt;$AB4</formula>
    </cfRule>
  </conditionalFormatting>
  <conditionalFormatting sqref="Y4:AB4">
    <cfRule type="expression" dxfId="1172" priority="87">
      <formula>AND($AB4=$AB3,$Y4&lt;$Y3)</formula>
    </cfRule>
    <cfRule type="expression" dxfId="1171" priority="86">
      <formula>$AB4&gt;$AB3</formula>
    </cfRule>
    <cfRule type="expression" dxfId="1170" priority="85">
      <formula>$AB4&lt;$AB3</formula>
    </cfRule>
  </conditionalFormatting>
  <conditionalFormatting sqref="Y6:AB6">
    <cfRule type="expression" dxfId="1169" priority="83">
      <formula>$AB6&gt;$AB7</formula>
    </cfRule>
    <cfRule type="expression" dxfId="1168" priority="84">
      <formula>AND($AB6=$AB7,$Y6&lt;$Y7)</formula>
    </cfRule>
    <cfRule type="expression" dxfId="1167" priority="82">
      <formula>$AB6&lt;$AB7</formula>
    </cfRule>
  </conditionalFormatting>
  <conditionalFormatting sqref="Y7:AB7">
    <cfRule type="expression" dxfId="1166" priority="81">
      <formula>AND($AB7=$AB6,$Y7&lt;$Y6)</formula>
    </cfRule>
    <cfRule type="expression" dxfId="1165" priority="80">
      <formula>$AB7&gt;$AB6</formula>
    </cfRule>
    <cfRule type="expression" dxfId="1164" priority="79">
      <formula>$AB7&lt;$AB6</formula>
    </cfRule>
  </conditionalFormatting>
  <conditionalFormatting sqref="Y9:AB9">
    <cfRule type="expression" dxfId="1163" priority="78">
      <formula>AND($AB9=$AB10,$Y9&lt;$Y10)</formula>
    </cfRule>
    <cfRule type="expression" dxfId="1162" priority="77">
      <formula>$AB9&gt;$AB10</formula>
    </cfRule>
    <cfRule type="expression" dxfId="1161" priority="76">
      <formula>$AB9&lt;$AB10</formula>
    </cfRule>
  </conditionalFormatting>
  <conditionalFormatting sqref="Y10:AB10">
    <cfRule type="expression" dxfId="1160" priority="75">
      <formula>AND($AB10=$AB9,$Y10&lt;$Y9)</formula>
    </cfRule>
    <cfRule type="expression" dxfId="1159" priority="74">
      <formula>$AB10&gt;$AB9</formula>
    </cfRule>
    <cfRule type="expression" dxfId="1158" priority="73">
      <formula>$AB10&lt;$AB9</formula>
    </cfRule>
  </conditionalFormatting>
  <conditionalFormatting sqref="Y12:AB12">
    <cfRule type="expression" dxfId="1157" priority="72">
      <formula>AND($AB12=$AB13,$Y12&lt;$Y13)</formula>
    </cfRule>
    <cfRule type="expression" dxfId="1156" priority="70">
      <formula>$AB12&lt;$AB13</formula>
    </cfRule>
    <cfRule type="expression" dxfId="1155" priority="71">
      <formula>$AB12&gt;$AB13</formula>
    </cfRule>
  </conditionalFormatting>
  <conditionalFormatting sqref="Y13:AB13">
    <cfRule type="expression" dxfId="1154" priority="67">
      <formula>$AB13&lt;$AB12</formula>
    </cfRule>
    <cfRule type="expression" dxfId="1153" priority="68">
      <formula>$AB13&gt;$AB12</formula>
    </cfRule>
    <cfRule type="expression" dxfId="1152" priority="69">
      <formula>AND($AB13=$AB12,$Y13&lt;$Y12)</formula>
    </cfRule>
  </conditionalFormatting>
  <conditionalFormatting sqref="Y15:AB15">
    <cfRule type="expression" dxfId="1151" priority="66">
      <formula>AND($AB15=$AB16,$Y15&lt;$Y16)</formula>
    </cfRule>
    <cfRule type="expression" dxfId="1150" priority="65">
      <formula>$AB15&gt;$AB16</formula>
    </cfRule>
    <cfRule type="expression" dxfId="1149" priority="64">
      <formula>$AB15&lt;$AB16</formula>
    </cfRule>
  </conditionalFormatting>
  <conditionalFormatting sqref="Y16:AB16">
    <cfRule type="expression" dxfId="1148" priority="61">
      <formula>$AB16&lt;$AB15</formula>
    </cfRule>
    <cfRule type="expression" dxfId="1147" priority="63">
      <formula>AND($AB16=$AB15,$Y16&lt;$Y15)</formula>
    </cfRule>
    <cfRule type="expression" dxfId="1146" priority="62">
      <formula>$AB16&gt;$AB15</formula>
    </cfRule>
  </conditionalFormatting>
  <conditionalFormatting sqref="Y18:AB18">
    <cfRule type="expression" dxfId="1145" priority="60">
      <formula>AND($AB18=$AB19,$Y18&lt;$Y19)</formula>
    </cfRule>
    <cfRule type="expression" dxfId="1144" priority="59">
      <formula>$AB18&gt;$AB19</formula>
    </cfRule>
    <cfRule type="expression" dxfId="1143" priority="58">
      <formula>$AB18&lt;$AB19</formula>
    </cfRule>
  </conditionalFormatting>
  <conditionalFormatting sqref="Y19:AB19">
    <cfRule type="expression" dxfId="1142" priority="57">
      <formula>AND($AB19=$AB18,$Y19&lt;$Y18)</formula>
    </cfRule>
    <cfRule type="expression" dxfId="1141" priority="56">
      <formula>$AB19&gt;$AB18</formula>
    </cfRule>
    <cfRule type="expression" dxfId="1140" priority="55">
      <formula>$AB19&lt;$AB18</formula>
    </cfRule>
  </conditionalFormatting>
  <conditionalFormatting sqref="Y21:AB21">
    <cfRule type="expression" dxfId="1139" priority="54">
      <formula>AND($AB21=$AB22,$Y21&lt;$Y22)</formula>
    </cfRule>
    <cfRule type="expression" dxfId="1138" priority="53">
      <formula>$AB21&gt;$AB22</formula>
    </cfRule>
    <cfRule type="expression" dxfId="1137" priority="52">
      <formula>$AB21&lt;$AB22</formula>
    </cfRule>
  </conditionalFormatting>
  <conditionalFormatting sqref="Y22:AB22">
    <cfRule type="expression" dxfId="1136" priority="51">
      <formula>AND($AB22=$AB21,$Y22&lt;$Y21)</formula>
    </cfRule>
    <cfRule type="expression" dxfId="1135" priority="50">
      <formula>$AB22&gt;$AB21</formula>
    </cfRule>
    <cfRule type="expression" dxfId="1134" priority="49">
      <formula>$AB22&lt;$AB21</formula>
    </cfRule>
  </conditionalFormatting>
  <conditionalFormatting sqref="Y24:AB24">
    <cfRule type="expression" dxfId="1133" priority="48">
      <formula>AND($AB24=$AB25,$Y24&lt;$Y25)</formula>
    </cfRule>
    <cfRule type="expression" dxfId="1132" priority="47">
      <formula>$AB24&gt;$AB25</formula>
    </cfRule>
    <cfRule type="expression" dxfId="1131" priority="46">
      <formula>$AB24&lt;$AB25</formula>
    </cfRule>
  </conditionalFormatting>
  <conditionalFormatting sqref="Y25:AB25">
    <cfRule type="expression" dxfId="1130" priority="45">
      <formula>AND($AB25=$AB24,$Y25&lt;$Y24)</formula>
    </cfRule>
    <cfRule type="expression" dxfId="1129" priority="44">
      <formula>$AB25&gt;$AB24</formula>
    </cfRule>
    <cfRule type="expression" dxfId="1128" priority="43">
      <formula>$AB25&lt;$AB24</formula>
    </cfRule>
  </conditionalFormatting>
  <conditionalFormatting sqref="Y27:AB27">
    <cfRule type="expression" dxfId="1127" priority="42">
      <formula>AND($AB27=$AB28,$Y27&lt;$Y28)</formula>
    </cfRule>
    <cfRule type="expression" dxfId="1126" priority="41">
      <formula>$AB27&gt;$AB28</formula>
    </cfRule>
    <cfRule type="expression" dxfId="1125" priority="40">
      <formula>$AB27&lt;$AB28</formula>
    </cfRule>
  </conditionalFormatting>
  <conditionalFormatting sqref="Y28:AB28">
    <cfRule type="expression" dxfId="1124" priority="39">
      <formula>AND($AB28=$AB27,$Y28&lt;$Y27)</formula>
    </cfRule>
    <cfRule type="expression" dxfId="1123" priority="38">
      <formula>$AB28&gt;$AB27</formula>
    </cfRule>
    <cfRule type="expression" dxfId="1122" priority="37">
      <formula>$AB28&lt;$AB27</formula>
    </cfRule>
  </conditionalFormatting>
  <conditionalFormatting sqref="Y30:AB30">
    <cfRule type="expression" dxfId="1121" priority="36">
      <formula>AND($AB30=$AB31,$Y30&lt;$Y31)</formula>
    </cfRule>
    <cfRule type="expression" dxfId="1120" priority="35">
      <formula>$AB30&gt;$AB31</formula>
    </cfRule>
    <cfRule type="expression" dxfId="1119" priority="34">
      <formula>$AB30&lt;$AB31</formula>
    </cfRule>
  </conditionalFormatting>
  <conditionalFormatting sqref="Y31:AB31">
    <cfRule type="expression" dxfId="1118" priority="33">
      <formula>AND($AB31=$AB30,$Y31&lt;$Y30)</formula>
    </cfRule>
    <cfRule type="expression" dxfId="1117" priority="32">
      <formula>$AB31&gt;$AB30</formula>
    </cfRule>
    <cfRule type="expression" dxfId="1116" priority="31">
      <formula>$AB31&lt;$AB30</formula>
    </cfRule>
  </conditionalFormatting>
  <conditionalFormatting sqref="Y33:AB33">
    <cfRule type="expression" dxfId="1115" priority="30">
      <formula>AND($AB33=$AB34,$Y33&lt;$Y34)</formula>
    </cfRule>
    <cfRule type="expression" dxfId="1114" priority="29">
      <formula>$AB33&gt;$AB34</formula>
    </cfRule>
    <cfRule type="expression" dxfId="1113" priority="28">
      <formula>$AB33&lt;$AB34</formula>
    </cfRule>
  </conditionalFormatting>
  <conditionalFormatting sqref="Y34:AB34">
    <cfRule type="expression" dxfId="1112" priority="27">
      <formula>AND($AB34=$AB33,$Y34&lt;$Y33)</formula>
    </cfRule>
    <cfRule type="expression" dxfId="1111" priority="26">
      <formula>$AB34&gt;$AB33</formula>
    </cfRule>
    <cfRule type="expression" dxfId="1110" priority="25">
      <formula>$AB34&lt;$AB33</formula>
    </cfRule>
  </conditionalFormatting>
  <conditionalFormatting sqref="Y36:AB36">
    <cfRule type="expression" dxfId="1109" priority="24">
      <formula>AND($AB36=$AB37,$Y36&lt;$Y37)</formula>
    </cfRule>
    <cfRule type="expression" dxfId="1108" priority="23">
      <formula>$AB36&gt;$AB37</formula>
    </cfRule>
    <cfRule type="expression" dxfId="1107" priority="22">
      <formula>$AB36&lt;$AB37</formula>
    </cfRule>
  </conditionalFormatting>
  <conditionalFormatting sqref="Y37:AB37">
    <cfRule type="expression" dxfId="1106" priority="19">
      <formula>$AB37&lt;$AB36</formula>
    </cfRule>
    <cfRule type="expression" dxfId="1105" priority="20">
      <formula>$AB37&gt;$AB36</formula>
    </cfRule>
    <cfRule type="expression" dxfId="1104" priority="21">
      <formula>AND($AB37=$AB36,$Y37&lt;$Y36)</formula>
    </cfRule>
  </conditionalFormatting>
  <conditionalFormatting sqref="AD3:AG3 AD12:AG12">
    <cfRule type="expression" dxfId="1103" priority="17">
      <formula>$AG3&gt;$AG4</formula>
    </cfRule>
    <cfRule type="expression" dxfId="1102" priority="18">
      <formula>AND($AG3=$AG4,$AD3&lt;$AD4)</formula>
    </cfRule>
    <cfRule type="expression" dxfId="1101" priority="16">
      <formula>$AG3&lt;$AG4</formula>
    </cfRule>
  </conditionalFormatting>
  <conditionalFormatting sqref="AD4:AG4 AD13:AG13">
    <cfRule type="expression" dxfId="1100" priority="15">
      <formula>AND($AG4=$AG3,$AD4&lt;$AD3)</formula>
    </cfRule>
    <cfRule type="expression" dxfId="1099" priority="14">
      <formula>$AG4&gt;$AG3</formula>
    </cfRule>
    <cfRule type="expression" dxfId="1098" priority="13">
      <formula>$AG4&lt;$AG3</formula>
    </cfRule>
  </conditionalFormatting>
  <conditionalFormatting sqref="AD6:AG6">
    <cfRule type="expression" dxfId="1097" priority="12">
      <formula>AND($AG6=$AG7,$AD6&lt;$AD7)</formula>
    </cfRule>
    <cfRule type="expression" dxfId="1096" priority="11">
      <formula>$AG6&gt;$AG7</formula>
    </cfRule>
    <cfRule type="expression" dxfId="1095" priority="10">
      <formula>$AG6&lt;$AG7</formula>
    </cfRule>
  </conditionalFormatting>
  <conditionalFormatting sqref="AD7:AG7">
    <cfRule type="expression" dxfId="1094" priority="9">
      <formula>AND($AG7=$AG6,$AD7&lt;$AD6)</formula>
    </cfRule>
    <cfRule type="expression" dxfId="1093" priority="8">
      <formula>$AG7&gt;$AG6</formula>
    </cfRule>
    <cfRule type="expression" dxfId="1092" priority="7">
      <formula>$AG7&lt;$AG6</formula>
    </cfRule>
  </conditionalFormatting>
  <conditionalFormatting sqref="AD9:AG9">
    <cfRule type="expression" dxfId="1091" priority="4">
      <formula>$AG9&lt;$AG10</formula>
    </cfRule>
    <cfRule type="expression" dxfId="1090" priority="6">
      <formula>AND($AG9=$AG10,$AD9&lt;$AD10)</formula>
    </cfRule>
    <cfRule type="expression" dxfId="1089" priority="5">
      <formula>$AG9&gt;$AG10</formula>
    </cfRule>
  </conditionalFormatting>
  <conditionalFormatting sqref="AD10:AG10">
    <cfRule type="expression" dxfId="1088" priority="3">
      <formula>AND($AG10=$AG9,$AD10&lt;$AD9)</formula>
    </cfRule>
    <cfRule type="expression" dxfId="1087" priority="1">
      <formula>$AG10&lt;$AG9</formula>
    </cfRule>
    <cfRule type="expression" dxfId="1086" priority="2">
      <formula>$AG10&gt;$AG9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5D084-0CC4-4668-8E3C-20A805AD9AE9}">
  <sheetPr>
    <pageSetUpPr fitToPage="1"/>
  </sheetPr>
  <dimension ref="A1:W33"/>
  <sheetViews>
    <sheetView workbookViewId="0">
      <selection activeCell="V27" sqref="V27"/>
    </sheetView>
  </sheetViews>
  <sheetFormatPr defaultRowHeight="14.4" x14ac:dyDescent="0.3"/>
  <cols>
    <col min="1" max="1" width="6" bestFit="1" customWidth="1"/>
    <col min="2" max="2" width="4" bestFit="1" customWidth="1"/>
    <col min="3" max="3" width="17.88671875" bestFit="1" customWidth="1"/>
    <col min="4" max="4" width="5.88671875" bestFit="1" customWidth="1"/>
    <col min="5" max="5" width="1.77734375" customWidth="1"/>
    <col min="6" max="6" width="3" bestFit="1" customWidth="1"/>
    <col min="7" max="7" width="4" bestFit="1" customWidth="1"/>
    <col min="8" max="8" width="17.88671875" bestFit="1" customWidth="1"/>
    <col min="9" max="9" width="2" bestFit="1" customWidth="1"/>
    <col min="10" max="10" width="1.77734375" customWidth="1"/>
    <col min="11" max="11" width="3" bestFit="1" customWidth="1"/>
    <col min="12" max="12" width="4" bestFit="1" customWidth="1"/>
    <col min="13" max="13" width="17.88671875" bestFit="1" customWidth="1"/>
    <col min="14" max="14" width="2" bestFit="1" customWidth="1"/>
    <col min="15" max="15" width="1.77734375" customWidth="1"/>
    <col min="16" max="16" width="3" bestFit="1" customWidth="1"/>
    <col min="17" max="17" width="4" bestFit="1" customWidth="1"/>
    <col min="18" max="18" width="17.88671875" bestFit="1" customWidth="1"/>
    <col min="19" max="19" width="2" bestFit="1" customWidth="1"/>
    <col min="20" max="20" width="1.77734375" customWidth="1"/>
    <col min="21" max="21" width="2.44140625" bestFit="1" customWidth="1"/>
    <col min="22" max="22" width="3" bestFit="1" customWidth="1"/>
    <col min="23" max="23" width="14.88671875" bestFit="1" customWidth="1"/>
  </cols>
  <sheetData>
    <row r="1" spans="1:22" x14ac:dyDescent="0.3">
      <c r="A1" t="str">
        <f>'Round 2 Finals'!A1</f>
        <v>Q Pos</v>
      </c>
      <c r="B1" t="str">
        <f>'Round 2 Finals'!B1</f>
        <v>#</v>
      </c>
      <c r="C1" t="str">
        <f>'Round 2 Finals'!C1</f>
        <v>Name</v>
      </c>
      <c r="D1" t="str">
        <f>'Round 2 Finals'!D1</f>
        <v>Score</v>
      </c>
      <c r="F1" t="str">
        <f>'Round 2 Finals'!F1</f>
        <v>Q</v>
      </c>
      <c r="G1" t="str">
        <f>'Round 2 Finals'!G1</f>
        <v>#</v>
      </c>
      <c r="K1" t="str">
        <f>'Round 2 Finals'!K1</f>
        <v>Q</v>
      </c>
      <c r="L1" t="str">
        <f>'Round 2 Finals'!L1</f>
        <v>#</v>
      </c>
      <c r="P1" t="str">
        <f>'Round 2 Finals'!P1</f>
        <v>Q</v>
      </c>
      <c r="Q1" t="str">
        <f>'Round 2 Finals'!Q1</f>
        <v>#</v>
      </c>
      <c r="V1" t="str">
        <f>'Round 2 Finals'!V1</f>
        <v>#</v>
      </c>
    </row>
    <row r="2" spans="1:22" x14ac:dyDescent="0.3">
      <c r="A2" s="1">
        <f>'Round 2 Finals'!A2</f>
        <v>1</v>
      </c>
      <c r="B2" s="1">
        <f>'Round 2 Finals'!B2</f>
        <v>93</v>
      </c>
      <c r="C2" s="1" t="str">
        <f>'Round 2 Finals'!C2</f>
        <v>Josh King</v>
      </c>
      <c r="D2" s="1">
        <f>'Round 2 Finals'!D2</f>
        <v>3</v>
      </c>
      <c r="E2" s="2"/>
    </row>
    <row r="3" spans="1:22" x14ac:dyDescent="0.3">
      <c r="A3" s="3"/>
      <c r="E3" s="2"/>
      <c r="F3" s="1">
        <f>'Round 2 Finals'!F3</f>
        <v>1</v>
      </c>
      <c r="G3" s="1">
        <f>'Round 2 Finals'!G3</f>
        <v>93</v>
      </c>
      <c r="H3" s="1" t="str">
        <f>'Round 2 Finals'!H3</f>
        <v>Josh King</v>
      </c>
      <c r="I3" s="1">
        <f>'Round 2 Finals'!I3</f>
        <v>3</v>
      </c>
      <c r="J3" s="2"/>
    </row>
    <row r="4" spans="1:22" x14ac:dyDescent="0.3">
      <c r="A4" s="1">
        <f>'Round 2 Finals'!A4</f>
        <v>16</v>
      </c>
      <c r="B4" s="1">
        <f>'Round 2 Finals'!B4</f>
        <v>265</v>
      </c>
      <c r="C4" s="1" t="str">
        <f>'Round 2 Finals'!C4</f>
        <v>Axel Hildebrand</v>
      </c>
      <c r="D4" s="1">
        <f>'Round 2 Finals'!D4</f>
        <v>0</v>
      </c>
      <c r="E4" s="2"/>
      <c r="J4" s="2"/>
    </row>
    <row r="5" spans="1:22" x14ac:dyDescent="0.3">
      <c r="J5" s="2"/>
      <c r="K5" s="1">
        <f>'Round 2 Finals'!K5</f>
        <v>1</v>
      </c>
      <c r="L5" s="1">
        <f>'Round 2 Finals'!L5</f>
        <v>93</v>
      </c>
      <c r="M5" s="1" t="str">
        <f>'Round 2 Finals'!M5</f>
        <v>Josh King</v>
      </c>
      <c r="N5" s="1">
        <f>'Round 2 Finals'!N5</f>
        <v>0</v>
      </c>
      <c r="O5" s="2"/>
    </row>
    <row r="6" spans="1:22" x14ac:dyDescent="0.3">
      <c r="A6" s="1">
        <f>'Round 2 Finals'!A6</f>
        <v>8</v>
      </c>
      <c r="B6" s="1">
        <f>'Round 2 Finals'!B6</f>
        <v>147</v>
      </c>
      <c r="C6" s="1" t="str">
        <f>'Round 2 Finals'!C6</f>
        <v>Richie Gilbey</v>
      </c>
      <c r="D6" s="1">
        <f>'Round 2 Finals'!D6</f>
        <v>3</v>
      </c>
      <c r="E6" s="2"/>
      <c r="J6" s="2"/>
      <c r="O6" s="2"/>
    </row>
    <row r="7" spans="1:22" x14ac:dyDescent="0.3">
      <c r="A7" s="3"/>
      <c r="E7" s="2"/>
      <c r="F7" s="1">
        <f>'Round 2 Finals'!F7</f>
        <v>8</v>
      </c>
      <c r="G7" s="1">
        <f>'Round 2 Finals'!G7</f>
        <v>147</v>
      </c>
      <c r="H7" s="1" t="str">
        <f>'Round 2 Finals'!H7</f>
        <v>Richie Gilbey</v>
      </c>
      <c r="I7" s="1">
        <f>'Round 2 Finals'!I7</f>
        <v>0</v>
      </c>
      <c r="J7" s="2"/>
      <c r="O7" s="2"/>
    </row>
    <row r="8" spans="1:22" x14ac:dyDescent="0.3">
      <c r="A8" s="1">
        <f>'Round 2 Finals'!A8</f>
        <v>9</v>
      </c>
      <c r="B8" s="1">
        <f>'Round 2 Finals'!B8</f>
        <v>26</v>
      </c>
      <c r="C8" s="1" t="str">
        <f>'Round 2 Finals'!C8</f>
        <v>Haydn Cruickshank</v>
      </c>
      <c r="D8" s="1">
        <f>'Round 2 Finals'!D8</f>
        <v>0</v>
      </c>
      <c r="E8" s="2"/>
      <c r="O8" s="2"/>
    </row>
    <row r="9" spans="1:22" x14ac:dyDescent="0.3">
      <c r="O9" s="2"/>
      <c r="P9" s="1">
        <f>'Round 2 Finals'!P9</f>
        <v>4</v>
      </c>
      <c r="Q9" s="1">
        <f>'Round 2 Finals'!Q9</f>
        <v>61</v>
      </c>
      <c r="R9" s="1" t="str">
        <f>'Round 2 Finals'!R9</f>
        <v>Martin Richards</v>
      </c>
      <c r="S9" s="1">
        <f>'Round 2 Finals'!S9</f>
        <v>0</v>
      </c>
      <c r="T9" s="2"/>
    </row>
    <row r="10" spans="1:22" x14ac:dyDescent="0.3">
      <c r="A10" s="1">
        <f>'Round 2 Finals'!A10</f>
        <v>4</v>
      </c>
      <c r="B10" s="1">
        <f>'Round 2 Finals'!B10</f>
        <v>61</v>
      </c>
      <c r="C10" s="1" t="str">
        <f>'Round 2 Finals'!C10</f>
        <v>Martin Richards</v>
      </c>
      <c r="D10" s="1">
        <f>'Round 2 Finals'!D10</f>
        <v>3</v>
      </c>
      <c r="E10" s="2"/>
      <c r="O10" s="2"/>
      <c r="T10" s="2"/>
    </row>
    <row r="11" spans="1:22" x14ac:dyDescent="0.3">
      <c r="A11" s="3"/>
      <c r="E11" s="2"/>
      <c r="F11" s="1">
        <f>'Round 2 Finals'!F11</f>
        <v>4</v>
      </c>
      <c r="G11" s="1">
        <f>'Round 2 Finals'!G11</f>
        <v>61</v>
      </c>
      <c r="H11" s="1" t="str">
        <f>'Round 2 Finals'!H11</f>
        <v>Martin Richards</v>
      </c>
      <c r="I11" s="1">
        <f>'Round 2 Finals'!I11</f>
        <v>3</v>
      </c>
      <c r="J11" s="2"/>
      <c r="O11" s="2"/>
      <c r="T11" s="2"/>
    </row>
    <row r="12" spans="1:22" x14ac:dyDescent="0.3">
      <c r="A12" s="1">
        <f>'Round 2 Finals'!A12</f>
        <v>13</v>
      </c>
      <c r="B12" s="1">
        <f>'Round 2 Finals'!B12</f>
        <v>39</v>
      </c>
      <c r="C12" s="1" t="str">
        <f>'Round 2 Finals'!C12</f>
        <v>Paul Beechey</v>
      </c>
      <c r="D12" s="1">
        <f>'Round 2 Finals'!D12</f>
        <v>0</v>
      </c>
      <c r="E12" s="2"/>
      <c r="J12" s="2"/>
      <c r="O12" s="2"/>
      <c r="T12" s="2"/>
    </row>
    <row r="13" spans="1:22" x14ac:dyDescent="0.3">
      <c r="J13" s="2"/>
      <c r="K13" s="1">
        <f>'Round 2 Finals'!K13</f>
        <v>4</v>
      </c>
      <c r="L13" s="1">
        <f>'Round 2 Finals'!L13</f>
        <v>61</v>
      </c>
      <c r="M13" s="1" t="str">
        <f>'Round 2 Finals'!M13</f>
        <v>Martin Richards</v>
      </c>
      <c r="N13" s="1">
        <f>'Round 2 Finals'!N13</f>
        <v>3</v>
      </c>
      <c r="O13" s="2"/>
      <c r="T13" s="2"/>
    </row>
    <row r="14" spans="1:22" x14ac:dyDescent="0.3">
      <c r="A14" s="1">
        <f>'Round 2 Finals'!A14</f>
        <v>5</v>
      </c>
      <c r="B14" s="1">
        <f>'Round 2 Finals'!B14</f>
        <v>41</v>
      </c>
      <c r="C14" s="1" t="str">
        <f>'Round 2 Finals'!C14</f>
        <v>Ian Phillips</v>
      </c>
      <c r="D14" s="1">
        <f>'Round 2 Finals'!D14</f>
        <v>3</v>
      </c>
      <c r="E14" s="2"/>
      <c r="J14" s="2"/>
      <c r="T14" s="2"/>
    </row>
    <row r="15" spans="1:22" x14ac:dyDescent="0.3">
      <c r="A15" s="3"/>
      <c r="E15" s="2"/>
      <c r="F15" s="1">
        <f>'Round 2 Finals'!F15</f>
        <v>5</v>
      </c>
      <c r="G15" s="1">
        <f>'Round 2 Finals'!G15</f>
        <v>41</v>
      </c>
      <c r="H15" s="1" t="str">
        <f>'Round 2 Finals'!H15</f>
        <v>Ian Phillips</v>
      </c>
      <c r="I15" s="1">
        <f>'Round 2 Finals'!I15</f>
        <v>0</v>
      </c>
      <c r="J15" s="2"/>
      <c r="T15" s="2"/>
    </row>
    <row r="16" spans="1:22" x14ac:dyDescent="0.3">
      <c r="A16" s="1">
        <f>'Round 2 Finals'!A16</f>
        <v>12</v>
      </c>
      <c r="B16" s="1">
        <f>'Round 2 Finals'!B16</f>
        <v>420</v>
      </c>
      <c r="C16" s="1" t="str">
        <f>'Round 2 Finals'!C16</f>
        <v>Harry Love</v>
      </c>
      <c r="D16" s="1">
        <f>'Round 2 Finals'!D16</f>
        <v>0</v>
      </c>
      <c r="E16" s="2"/>
      <c r="T16" s="2"/>
    </row>
    <row r="17" spans="1:23" x14ac:dyDescent="0.3">
      <c r="T17" s="2"/>
      <c r="U17" s="5">
        <f>'Round 2 Finals'!U17</f>
        <v>2</v>
      </c>
      <c r="V17" s="5">
        <f>'Round 2 Finals'!V17</f>
        <v>128</v>
      </c>
      <c r="W17" s="5" t="str">
        <f>'Round 2 Finals'!W17</f>
        <v>Lwi Edwards</v>
      </c>
    </row>
    <row r="18" spans="1:23" x14ac:dyDescent="0.3">
      <c r="A18" s="1">
        <f>'Round 2 Finals'!A18</f>
        <v>2</v>
      </c>
      <c r="B18" s="1">
        <f>'Round 2 Finals'!B18</f>
        <v>128</v>
      </c>
      <c r="C18" s="1" t="str">
        <f>'Round 2 Finals'!C18</f>
        <v>Lwi Edwards</v>
      </c>
      <c r="D18" s="1">
        <f>'Round 2 Finals'!D18</f>
        <v>3</v>
      </c>
      <c r="E18" s="2"/>
      <c r="T18" s="2"/>
    </row>
    <row r="19" spans="1:23" x14ac:dyDescent="0.3">
      <c r="A19" s="3"/>
      <c r="E19" s="2"/>
      <c r="F19" s="1">
        <f>'Round 2 Finals'!F19</f>
        <v>2</v>
      </c>
      <c r="G19" s="1">
        <f>'Round 2 Finals'!G19</f>
        <v>128</v>
      </c>
      <c r="H19" s="1" t="str">
        <f>'Round 2 Finals'!H19</f>
        <v>Lwi Edwards</v>
      </c>
      <c r="I19" s="1">
        <f>'Round 2 Finals'!I19</f>
        <v>3</v>
      </c>
      <c r="J19" s="2"/>
      <c r="T19" s="2"/>
    </row>
    <row r="20" spans="1:23" x14ac:dyDescent="0.3">
      <c r="A20" s="1">
        <f>'Round 2 Finals'!A20</f>
        <v>15</v>
      </c>
      <c r="B20" s="1">
        <f>'Round 2 Finals'!B20</f>
        <v>55</v>
      </c>
      <c r="C20" s="1" t="str">
        <f>'Round 2 Finals'!C20</f>
        <v>Oliver Evans</v>
      </c>
      <c r="D20" s="1">
        <f>'Round 2 Finals'!D20</f>
        <v>0</v>
      </c>
      <c r="E20" s="2"/>
      <c r="J20" s="2"/>
      <c r="T20" s="2"/>
    </row>
    <row r="21" spans="1:23" x14ac:dyDescent="0.3">
      <c r="J21" s="2"/>
      <c r="K21" s="1">
        <f>'Round 2 Finals'!K21</f>
        <v>2</v>
      </c>
      <c r="L21" s="1">
        <f>'Round 2 Finals'!L21</f>
        <v>128</v>
      </c>
      <c r="M21" s="1" t="str">
        <f>'Round 2 Finals'!M21</f>
        <v>Lwi Edwards</v>
      </c>
      <c r="N21" s="1">
        <f>'Round 2 Finals'!N21</f>
        <v>3</v>
      </c>
      <c r="O21" s="2"/>
      <c r="T21" s="2"/>
    </row>
    <row r="22" spans="1:23" x14ac:dyDescent="0.3">
      <c r="A22" s="1">
        <f>'Round 2 Finals'!A22</f>
        <v>7</v>
      </c>
      <c r="B22" s="1">
        <f>'Round 2 Finals'!B22</f>
        <v>86</v>
      </c>
      <c r="C22" s="1" t="str">
        <f>'Round 2 Finals'!C22</f>
        <v>David Bastin</v>
      </c>
      <c r="D22" s="1">
        <f>'Round 2 Finals'!D22</f>
        <v>3</v>
      </c>
      <c r="E22" s="2"/>
      <c r="J22" s="2"/>
      <c r="O22" s="2"/>
      <c r="T22" s="2"/>
    </row>
    <row r="23" spans="1:23" x14ac:dyDescent="0.3">
      <c r="A23" s="3"/>
      <c r="E23" s="2"/>
      <c r="F23" s="1">
        <f>'Round 2 Finals'!F23</f>
        <v>7</v>
      </c>
      <c r="G23" s="1">
        <f>'Round 2 Finals'!G23</f>
        <v>86</v>
      </c>
      <c r="H23" s="1" t="str">
        <f>'Round 2 Finals'!H23</f>
        <v>David Bastin</v>
      </c>
      <c r="I23" s="1">
        <f>'Round 2 Finals'!I23</f>
        <v>0</v>
      </c>
      <c r="J23" s="2"/>
      <c r="O23" s="2"/>
      <c r="T23" s="2"/>
    </row>
    <row r="24" spans="1:23" x14ac:dyDescent="0.3">
      <c r="A24" s="1">
        <f>'Round 2 Finals'!A24</f>
        <v>10</v>
      </c>
      <c r="B24" s="1">
        <f>'Round 2 Finals'!B24</f>
        <v>66</v>
      </c>
      <c r="C24" s="1" t="str">
        <f>'Round 2 Finals'!C24</f>
        <v>Andy Frost</v>
      </c>
      <c r="D24" s="1">
        <f>'Round 2 Finals'!D24</f>
        <v>0</v>
      </c>
      <c r="E24" s="2"/>
      <c r="O24" s="2"/>
      <c r="T24" s="2"/>
    </row>
    <row r="25" spans="1:23" x14ac:dyDescent="0.3">
      <c r="O25" s="2"/>
      <c r="P25" s="1">
        <f>'Round 2 Finals'!P25</f>
        <v>2</v>
      </c>
      <c r="Q25" s="1">
        <f>'Round 2 Finals'!Q25</f>
        <v>128</v>
      </c>
      <c r="R25" s="1" t="str">
        <f>'Round 2 Finals'!R25</f>
        <v>Lwi Edwards</v>
      </c>
      <c r="S25" s="1">
        <f>'Round 2 Finals'!S25</f>
        <v>3</v>
      </c>
      <c r="T25" s="2"/>
    </row>
    <row r="26" spans="1:23" x14ac:dyDescent="0.3">
      <c r="A26" s="1">
        <f>'Round 2 Finals'!A26</f>
        <v>3</v>
      </c>
      <c r="B26" s="1">
        <f>'Round 2 Finals'!B26</f>
        <v>94</v>
      </c>
      <c r="C26" s="1" t="str">
        <f>'Round 2 Finals'!C26</f>
        <v>Paul Cunnington</v>
      </c>
      <c r="D26" s="1">
        <f>'Round 2 Finals'!D26</f>
        <v>3</v>
      </c>
      <c r="E26" s="2"/>
      <c r="O26" s="2"/>
    </row>
    <row r="27" spans="1:23" x14ac:dyDescent="0.3">
      <c r="A27" s="3"/>
      <c r="E27" s="2"/>
      <c r="F27" s="1">
        <f>'Round 2 Finals'!F27</f>
        <v>3</v>
      </c>
      <c r="G27" s="1">
        <f>'Round 2 Finals'!G27</f>
        <v>94</v>
      </c>
      <c r="H27" s="1" t="str">
        <f>'Round 2 Finals'!H27</f>
        <v>Paul Cunnington</v>
      </c>
      <c r="I27" s="1">
        <f>'Round 2 Finals'!I27</f>
        <v>3</v>
      </c>
      <c r="J27" s="2"/>
      <c r="O27" s="2"/>
    </row>
    <row r="28" spans="1:23" x14ac:dyDescent="0.3">
      <c r="A28" s="1">
        <f>'Round 2 Finals'!A28</f>
        <v>14</v>
      </c>
      <c r="B28" s="1">
        <f>'Round 2 Finals'!B28</f>
        <v>22</v>
      </c>
      <c r="C28" s="1" t="str">
        <f>'Round 2 Finals'!C28</f>
        <v>Joel Conlan</v>
      </c>
      <c r="D28" s="1">
        <f>'Round 2 Finals'!D28</f>
        <v>0</v>
      </c>
      <c r="E28" s="2"/>
      <c r="J28" s="2"/>
      <c r="O28" s="2"/>
    </row>
    <row r="29" spans="1:23" x14ac:dyDescent="0.3">
      <c r="J29" s="2"/>
      <c r="K29" s="1">
        <f>'Round 2 Finals'!K29</f>
        <v>3</v>
      </c>
      <c r="L29" s="1">
        <f>'Round 2 Finals'!L29</f>
        <v>94</v>
      </c>
      <c r="M29" s="1" t="str">
        <f>'Round 2 Finals'!M29</f>
        <v>Paul Cunnington</v>
      </c>
      <c r="N29" s="1">
        <f>'Round 2 Finals'!N29</f>
        <v>0</v>
      </c>
      <c r="O29" s="2"/>
    </row>
    <row r="30" spans="1:23" x14ac:dyDescent="0.3">
      <c r="A30" s="1">
        <f>'Round 2 Finals'!A30</f>
        <v>6</v>
      </c>
      <c r="B30" s="1">
        <f>'Round 2 Finals'!B30</f>
        <v>366</v>
      </c>
      <c r="C30" s="1" t="str">
        <f>'Round 2 Finals'!C30</f>
        <v>Micheal Bennett</v>
      </c>
      <c r="D30" s="1">
        <f>'Round 2 Finals'!D30</f>
        <v>3</v>
      </c>
      <c r="E30" s="2"/>
      <c r="J30" s="2"/>
    </row>
    <row r="31" spans="1:23" x14ac:dyDescent="0.3">
      <c r="A31" s="3"/>
      <c r="E31" s="2"/>
      <c r="F31" s="1">
        <f>'Round 2 Finals'!F31</f>
        <v>6</v>
      </c>
      <c r="G31" s="1">
        <f>'Round 2 Finals'!G31</f>
        <v>366</v>
      </c>
      <c r="H31" s="1" t="str">
        <f>'Round 2 Finals'!H31</f>
        <v>Micheal Bennett</v>
      </c>
      <c r="I31" s="1">
        <f>'Round 2 Finals'!I31</f>
        <v>0</v>
      </c>
      <c r="J31" s="2"/>
      <c r="P31" s="1">
        <f>'Round 2 Finals'!P31</f>
        <v>1</v>
      </c>
      <c r="Q31" s="1">
        <f>'Round 2 Finals'!Q31</f>
        <v>93</v>
      </c>
      <c r="R31" s="1" t="str">
        <f>'Round 2 Finals'!R31</f>
        <v>Josh King</v>
      </c>
      <c r="S31" s="1">
        <f>'Round 2 Finals'!S31</f>
        <v>3</v>
      </c>
      <c r="T31" s="2"/>
    </row>
    <row r="32" spans="1:23" x14ac:dyDescent="0.3">
      <c r="A32" s="1">
        <f>'Round 2 Finals'!A32</f>
        <v>11</v>
      </c>
      <c r="B32" s="1">
        <f>'Round 2 Finals'!B32</f>
        <v>112</v>
      </c>
      <c r="C32" s="1" t="str">
        <f>'Round 2 Finals'!C32</f>
        <v>Nathan Chivers</v>
      </c>
      <c r="D32" s="1">
        <f>'Round 2 Finals'!D32</f>
        <v>0</v>
      </c>
      <c r="E32" s="2"/>
      <c r="T32" s="2"/>
      <c r="U32" s="1"/>
      <c r="V32" s="1">
        <f>'Round 2 Finals'!V32</f>
        <v>93</v>
      </c>
      <c r="W32" s="1" t="str">
        <f>'Round 2 Finals'!W32</f>
        <v>Josh King</v>
      </c>
    </row>
    <row r="33" spans="16:20" x14ac:dyDescent="0.3">
      <c r="P33" s="1">
        <f>'Round 2 Finals'!P33</f>
        <v>3</v>
      </c>
      <c r="Q33" s="1">
        <f>'Round 2 Finals'!Q33</f>
        <v>94</v>
      </c>
      <c r="R33" s="1" t="str">
        <f>'Round 2 Finals'!R33</f>
        <v>Paul Cunnington</v>
      </c>
      <c r="S33" s="1">
        <f>'Round 2 Finals'!S33</f>
        <v>0</v>
      </c>
      <c r="T33" s="2"/>
    </row>
  </sheetData>
  <sheetProtection sheet="1" objects="1" scenarios="1"/>
  <conditionalFormatting sqref="A2:D2">
    <cfRule type="expression" dxfId="1085" priority="39">
      <formula>AND($D2=$D4,$A2&lt;$A4)</formula>
    </cfRule>
    <cfRule type="expression" dxfId="1084" priority="42">
      <formula>$D2&gt;$D4</formula>
    </cfRule>
    <cfRule type="expression" dxfId="1083" priority="40">
      <formula>$D2&lt;$D4</formula>
    </cfRule>
  </conditionalFormatting>
  <conditionalFormatting sqref="A4:D4">
    <cfRule type="expression" dxfId="1082" priority="38">
      <formula>$D4&lt;$D2</formula>
    </cfRule>
    <cfRule type="expression" dxfId="1081" priority="37">
      <formula>AND($D4=$D2,$A4&lt;$A2)</formula>
    </cfRule>
    <cfRule type="expression" dxfId="1080" priority="41">
      <formula>$D4&gt;$D2</formula>
    </cfRule>
  </conditionalFormatting>
  <conditionalFormatting sqref="A6:D6 A10:D10 A14:D14 A18:D18 A22:D22 A26:D26 A30:D30">
    <cfRule type="expression" dxfId="1079" priority="11">
      <formula>$D6&lt;$D8</formula>
    </cfRule>
    <cfRule type="expression" dxfId="1078" priority="10">
      <formula>AND($D6=$D8,$A6&lt;$A8)</formula>
    </cfRule>
    <cfRule type="expression" dxfId="1077" priority="12">
      <formula>$D6&gt;$D8</formula>
    </cfRule>
  </conditionalFormatting>
  <conditionalFormatting sqref="A8:D8 A12:D12 A16:D16 A20:D20 A24:D24 A28:D28 A32:D32">
    <cfRule type="expression" dxfId="1076" priority="7">
      <formula>AND($D8=$D6,$A8&lt;$A6)</formula>
    </cfRule>
    <cfRule type="expression" dxfId="1075" priority="8">
      <formula>$D8&lt;$D6</formula>
    </cfRule>
    <cfRule type="expression" dxfId="1074" priority="9">
      <formula>$D8&gt;$D6</formula>
    </cfRule>
  </conditionalFormatting>
  <conditionalFormatting sqref="F3:I3">
    <cfRule type="expression" dxfId="1073" priority="36">
      <formula>$I3&gt;$I7</formula>
    </cfRule>
    <cfRule type="expression" dxfId="1072" priority="35">
      <formula>$I3&lt;$I7</formula>
    </cfRule>
    <cfRule type="expression" dxfId="1071" priority="34">
      <formula>AND($I3=$I7,$F3&lt;$F7)</formula>
    </cfRule>
  </conditionalFormatting>
  <conditionalFormatting sqref="F7:I7">
    <cfRule type="expression" dxfId="1070" priority="30">
      <formula>$I7&gt;$I3</formula>
    </cfRule>
    <cfRule type="expression" dxfId="1069" priority="29">
      <formula>$I7&lt;$I3</formula>
    </cfRule>
    <cfRule type="expression" dxfId="1068" priority="28">
      <formula>AND($I7=$I3,$F7&lt;$F3)</formula>
    </cfRule>
  </conditionalFormatting>
  <conditionalFormatting sqref="F11:I11 F19:I19 F27:I27">
    <cfRule type="expression" dxfId="1067" priority="33">
      <formula>$I11&gt;$I15</formula>
    </cfRule>
    <cfRule type="expression" dxfId="1066" priority="31">
      <formula>AND($I11=$I15,$F11&lt;$F15)</formula>
    </cfRule>
    <cfRule type="expression" dxfId="1065" priority="32">
      <formula>$I11&lt;$I15</formula>
    </cfRule>
  </conditionalFormatting>
  <conditionalFormatting sqref="F15:I15 F23:I23 F31:I31">
    <cfRule type="expression" dxfId="1064" priority="27">
      <formula>$I15&gt;$I11</formula>
    </cfRule>
    <cfRule type="expression" dxfId="1063" priority="26">
      <formula>$I15&lt;$I11</formula>
    </cfRule>
    <cfRule type="expression" dxfId="1062" priority="25">
      <formula>AND($I15=$I11,$F15&lt;$F11)</formula>
    </cfRule>
  </conditionalFormatting>
  <conditionalFormatting sqref="K5:N5">
    <cfRule type="expression" dxfId="1061" priority="22">
      <formula>AND($N5=$N13,$K5&lt;$K13)</formula>
    </cfRule>
    <cfRule type="expression" dxfId="1060" priority="23">
      <formula>$N5&lt;$N13</formula>
    </cfRule>
    <cfRule type="expression" dxfId="1059" priority="24">
      <formula>$N5&gt;$N13</formula>
    </cfRule>
  </conditionalFormatting>
  <conditionalFormatting sqref="K13:N13">
    <cfRule type="expression" dxfId="1058" priority="18">
      <formula>$N13&gt;$N5</formula>
    </cfRule>
    <cfRule type="expression" dxfId="1057" priority="16">
      <formula>AND($N13=$N5,$K13&lt;$K5)</formula>
    </cfRule>
    <cfRule type="expression" dxfId="1056" priority="17">
      <formula>$N13&lt;$N5</formula>
    </cfRule>
  </conditionalFormatting>
  <conditionalFormatting sqref="K21:N21">
    <cfRule type="expression" dxfId="1055" priority="19">
      <formula>AND($N21=$N29,$K21&lt;$K29)</formula>
    </cfRule>
    <cfRule type="expression" dxfId="1054" priority="21">
      <formula>$N21&gt;$N29</formula>
    </cfRule>
    <cfRule type="expression" dxfId="1053" priority="20">
      <formula>$N21&lt;$N29</formula>
    </cfRule>
  </conditionalFormatting>
  <conditionalFormatting sqref="K29:N29">
    <cfRule type="expression" dxfId="1052" priority="15">
      <formula>$N29&gt;$N21</formula>
    </cfRule>
    <cfRule type="expression" dxfId="1051" priority="14">
      <formula>$N29&lt;$N21</formula>
    </cfRule>
    <cfRule type="expression" dxfId="1050" priority="13">
      <formula>AND($N29=$N21,$K29&lt;$K21)</formula>
    </cfRule>
  </conditionalFormatting>
  <conditionalFormatting sqref="P9:S9">
    <cfRule type="expression" dxfId="1049" priority="5">
      <formula>$S9&lt;$S25</formula>
    </cfRule>
    <cfRule type="expression" dxfId="1048" priority="4">
      <formula>AND($S9=$S25,$P9&lt;$P25)</formula>
    </cfRule>
    <cfRule type="expression" dxfId="1047" priority="6">
      <formula>$S9&gt;$S25</formula>
    </cfRule>
  </conditionalFormatting>
  <conditionalFormatting sqref="P25:S25">
    <cfRule type="expression" dxfId="1046" priority="1">
      <formula>AND($S25=$S9,$P25&lt;$P9)</formula>
    </cfRule>
    <cfRule type="expression" dxfId="1045" priority="3">
      <formula>$S25&gt;$S9</formula>
    </cfRule>
    <cfRule type="expression" dxfId="1044" priority="2">
      <formula>$S25&lt;$S9</formula>
    </cfRule>
  </conditionalFormatting>
  <pageMargins left="0.7" right="0.7" top="0.75" bottom="0.75" header="0.3" footer="0.3"/>
  <pageSetup paperSize="9" scale="9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91CEA-C04E-41D7-B8CF-C62280D63BCC}">
  <dimension ref="A1:AO27"/>
  <sheetViews>
    <sheetView topLeftCell="AA1" zoomScale="114" workbookViewId="0">
      <selection activeCell="AP3" sqref="AP3"/>
    </sheetView>
  </sheetViews>
  <sheetFormatPr defaultRowHeight="14.4" x14ac:dyDescent="0.3"/>
  <cols>
    <col min="3" max="3" width="17.88671875" bestFit="1" customWidth="1"/>
    <col min="4" max="4" width="7.77734375" style="6" bestFit="1" customWidth="1"/>
    <col min="5" max="7" width="7.109375" style="6" bestFit="1" customWidth="1"/>
    <col min="8" max="8" width="5.77734375" bestFit="1" customWidth="1"/>
    <col min="9" max="11" width="7.109375" style="6" bestFit="1" customWidth="1"/>
    <col min="12" max="12" width="5.77734375" bestFit="1" customWidth="1"/>
    <col min="13" max="13" width="7.109375" bestFit="1" customWidth="1"/>
    <col min="14" max="14" width="6.88671875" bestFit="1" customWidth="1"/>
    <col min="15" max="15" width="11" hidden="1" customWidth="1"/>
    <col min="16" max="16" width="7.44140625" customWidth="1"/>
    <col min="17" max="17" width="7.44140625" style="6" customWidth="1"/>
    <col min="18" max="22" width="9.109375" hidden="1" customWidth="1"/>
    <col min="23" max="23" width="5.77734375" customWidth="1"/>
    <col min="24" max="24" width="16.88671875" hidden="1" customWidth="1"/>
    <col min="25" max="25" width="7.5546875" bestFit="1" customWidth="1"/>
    <col min="26" max="26" width="5.5546875" bestFit="1" customWidth="1"/>
    <col min="27" max="27" width="17.88671875" bestFit="1" customWidth="1"/>
    <col min="28" max="28" width="15.44140625" bestFit="1" customWidth="1"/>
    <col min="29" max="29" width="14" bestFit="1" customWidth="1"/>
    <col min="30" max="33" width="17.88671875" hidden="1" customWidth="1"/>
    <col min="34" max="34" width="5.77734375" customWidth="1"/>
    <col min="35" max="35" width="7.44140625" customWidth="1"/>
    <col min="36" max="36" width="5.21875" bestFit="1" customWidth="1"/>
    <col min="37" max="37" width="17.88671875" bestFit="1" customWidth="1"/>
    <col min="38" max="38" width="5.77734375" customWidth="1"/>
    <col min="39" max="39" width="3" bestFit="1" customWidth="1"/>
    <col min="40" max="40" width="4" bestFit="1" customWidth="1"/>
    <col min="41" max="42" width="17.88671875" bestFit="1" customWidth="1"/>
  </cols>
  <sheetData>
    <row r="1" spans="1:41" x14ac:dyDescent="0.3">
      <c r="A1" s="6">
        <v>3</v>
      </c>
      <c r="O1" t="s">
        <v>62</v>
      </c>
      <c r="R1" t="s">
        <v>62</v>
      </c>
      <c r="S1" t="s">
        <v>62</v>
      </c>
      <c r="T1" t="s">
        <v>62</v>
      </c>
      <c r="U1" t="s">
        <v>62</v>
      </c>
      <c r="Y1" s="7" t="s">
        <v>93</v>
      </c>
      <c r="Z1" s="7"/>
      <c r="AA1" s="7"/>
      <c r="AB1" s="7"/>
      <c r="AC1" s="7"/>
      <c r="AI1" s="7" t="s">
        <v>94</v>
      </c>
      <c r="AJ1" s="7"/>
      <c r="AK1" s="7"/>
      <c r="AM1" s="7" t="s">
        <v>95</v>
      </c>
      <c r="AN1" s="7"/>
      <c r="AO1" s="7"/>
    </row>
    <row r="2" spans="1:41" x14ac:dyDescent="0.3">
      <c r="A2" t="s">
        <v>65</v>
      </c>
      <c r="B2" t="s">
        <v>63</v>
      </c>
      <c r="C2" t="s">
        <v>64</v>
      </c>
      <c r="D2" s="6" t="s">
        <v>84</v>
      </c>
      <c r="E2" s="6" t="s">
        <v>69</v>
      </c>
      <c r="F2" s="6" t="s">
        <v>70</v>
      </c>
      <c r="G2" s="6" t="s">
        <v>71</v>
      </c>
      <c r="H2" t="s">
        <v>59</v>
      </c>
      <c r="I2" s="6" t="s">
        <v>72</v>
      </c>
      <c r="J2" s="6" t="s">
        <v>73</v>
      </c>
      <c r="K2" s="6" t="s">
        <v>74</v>
      </c>
      <c r="L2" t="s">
        <v>60</v>
      </c>
      <c r="M2" t="s">
        <v>75</v>
      </c>
      <c r="N2" t="s">
        <v>76</v>
      </c>
      <c r="O2" t="s">
        <v>68</v>
      </c>
      <c r="P2" t="s">
        <v>61</v>
      </c>
      <c r="Q2" s="6" t="s">
        <v>78</v>
      </c>
      <c r="X2" t="s">
        <v>81</v>
      </c>
      <c r="Y2" t="s">
        <v>61</v>
      </c>
      <c r="Z2" t="s">
        <v>63</v>
      </c>
      <c r="AA2" t="s">
        <v>64</v>
      </c>
      <c r="AB2" t="s">
        <v>82</v>
      </c>
      <c r="AC2" t="s">
        <v>83</v>
      </c>
      <c r="AD2" t="s">
        <v>80</v>
      </c>
      <c r="AE2" t="s">
        <v>79</v>
      </c>
      <c r="AF2" t="s">
        <v>66</v>
      </c>
      <c r="AG2" t="s">
        <v>67</v>
      </c>
      <c r="AI2" t="s">
        <v>61</v>
      </c>
      <c r="AJ2" t="s">
        <v>63</v>
      </c>
      <c r="AK2" t="s">
        <v>64</v>
      </c>
      <c r="AM2" t="s">
        <v>77</v>
      </c>
      <c r="AN2" t="s">
        <v>63</v>
      </c>
      <c r="AO2" t="s">
        <v>64</v>
      </c>
    </row>
    <row r="3" spans="1:41" x14ac:dyDescent="0.3">
      <c r="A3">
        <v>1</v>
      </c>
      <c r="B3">
        <f>VLOOKUP('Round 3'!$A3,INDEX(Entry!$E$2:$U$23,1,'Round 3'!$A$1*2-1):'Entry'!$U$33,18-$A$1*2,0)</f>
        <v>18</v>
      </c>
      <c r="C3" t="str">
        <f>VLOOKUP('Round 3'!$A3,INDEX(Entry!$E$2:$U$23,1,'Round 3'!$A$1*2-1):'Entry'!$U$33,19-$A$1*2,0)</f>
        <v>Matthew Denham</v>
      </c>
      <c r="H3">
        <f>ROUND(IFERROR(AVERAGE(E3:G3),0),2)</f>
        <v>0</v>
      </c>
      <c r="L3">
        <f t="shared" ref="L3:L27" si="0">ROUND(IFERROR(AVERAGE(I3:K3),0),2)</f>
        <v>0</v>
      </c>
      <c r="M3">
        <f t="shared" ref="M3:M27" si="1">MAX(H3,L3)</f>
        <v>0</v>
      </c>
      <c r="N3">
        <f>IF(H3=M3,L3,H3)</f>
        <v>0</v>
      </c>
      <c r="O3">
        <f>IFERROR(M3+N3/1000+((1000-B3)/1000000),0)</f>
        <v>9.8200000000000002E-4</v>
      </c>
      <c r="P3">
        <f>RANK(O3,$O$3:$O$27,0)</f>
        <v>19</v>
      </c>
      <c r="R3">
        <f>B3</f>
        <v>18</v>
      </c>
      <c r="S3" t="str">
        <f>C3</f>
        <v>Matthew Denham</v>
      </c>
      <c r="T3">
        <f>Table2711[[#This Row],[Max]]</f>
        <v>0</v>
      </c>
      <c r="U3">
        <f>Table2711[[#This Row],[Min]]</f>
        <v>0</v>
      </c>
      <c r="X3">
        <f>Table1610[[#This Row],[Column1]]</f>
        <v>1</v>
      </c>
      <c r="Y3">
        <v>1</v>
      </c>
      <c r="Z3">
        <f t="shared" ref="Z3:Z27" si="2">VLOOKUP(Y3,$P$3:$U$27,3,0)</f>
        <v>61</v>
      </c>
      <c r="AA3" t="str">
        <f t="shared" ref="AA3:AA27" si="3">VLOOKUP(Y3,$P$3:$U$27,4,0)</f>
        <v>Martin Richards</v>
      </c>
      <c r="AB3">
        <f t="shared" ref="AB3:AB27" si="4">VLOOKUP(Y3,$P$3:$U$27,5,0)</f>
        <v>92.5</v>
      </c>
      <c r="AC3">
        <f t="shared" ref="AC3:AC27" si="5">VLOOKUP(Y3,$P$3:$U$27,6,0)</f>
        <v>75.5</v>
      </c>
      <c r="AD3">
        <f>VLOOKUP(Table1610[[#This Row],['#]],Table2711[['#]:[Drop]],16,0)</f>
        <v>0</v>
      </c>
      <c r="AE3">
        <f>COUNTIF($AD$3:AD3,"X")</f>
        <v>0</v>
      </c>
      <c r="AF3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</v>
      </c>
      <c r="AG3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3">
        <v>1</v>
      </c>
      <c r="AJ3">
        <f>VLOOKUP(AI3,$X$3:$AA$27,3,0)</f>
        <v>61</v>
      </c>
      <c r="AK3" t="str">
        <f>VLOOKUP(AI3,$X$3:$AA$27,4,0)</f>
        <v>Martin Richards</v>
      </c>
      <c r="AM3" s="1">
        <v>1</v>
      </c>
      <c r="AN3" s="1">
        <f>VLOOKUP(AM3,$AI$3:$AL$18,2,0)</f>
        <v>61</v>
      </c>
      <c r="AO3" s="1" t="str">
        <f>VLOOKUP(AM3,$AI$3:$AL$18,3,0)</f>
        <v>Martin Richards</v>
      </c>
    </row>
    <row r="4" spans="1:41" x14ac:dyDescent="0.3">
      <c r="A4">
        <v>2</v>
      </c>
      <c r="B4">
        <f>VLOOKUP('Round 3'!$A4,INDEX(Entry!$E$2:$U$23,1,'Round 3'!$A$1*2-1):'Entry'!$U$33,18-$A$1*2,0)</f>
        <v>26</v>
      </c>
      <c r="C4" t="str">
        <f>VLOOKUP('Round 3'!$A4,INDEX(Entry!$E$2:$U$23,1,'Round 3'!$A$1*2-1):'Entry'!$U$33,19-$A$1*2,0)</f>
        <v>Haydn Cruickshank</v>
      </c>
      <c r="D4" s="6" t="s">
        <v>106</v>
      </c>
      <c r="E4" s="6">
        <v>79</v>
      </c>
      <c r="F4" s="6">
        <v>79</v>
      </c>
      <c r="H4">
        <f t="shared" ref="H4:H27" si="6">ROUND(IFERROR(AVERAGE(E4:G4),0),2)</f>
        <v>79</v>
      </c>
      <c r="I4" s="6">
        <v>86</v>
      </c>
      <c r="J4" s="6">
        <v>87</v>
      </c>
      <c r="L4">
        <f t="shared" si="0"/>
        <v>86.5</v>
      </c>
      <c r="M4">
        <f t="shared" si="1"/>
        <v>86.5</v>
      </c>
      <c r="N4">
        <f>IF(H4=M4,L4,H4)</f>
        <v>79</v>
      </c>
      <c r="O4">
        <f t="shared" ref="O4:O27" si="7">IFERROR(M4+N4/1000+((1000-B4)/1000000),0)</f>
        <v>86.579973999999993</v>
      </c>
      <c r="P4">
        <f t="shared" ref="P4:P27" si="8">RANK(O4,$O$3:$O$27,0)</f>
        <v>8</v>
      </c>
      <c r="R4">
        <f t="shared" ref="R4:S27" si="9">B4</f>
        <v>26</v>
      </c>
      <c r="S4" t="str">
        <f t="shared" si="9"/>
        <v>Haydn Cruickshank</v>
      </c>
      <c r="T4">
        <f>Table2711[[#This Row],[Max]]</f>
        <v>86.5</v>
      </c>
      <c r="U4">
        <f>Table2711[[#This Row],[Min]]</f>
        <v>79</v>
      </c>
      <c r="X4">
        <f>Table1610[[#This Row],[Column1]]</f>
        <v>2</v>
      </c>
      <c r="Y4">
        <v>2</v>
      </c>
      <c r="Z4">
        <f t="shared" si="2"/>
        <v>20</v>
      </c>
      <c r="AA4" t="str">
        <f t="shared" si="3"/>
        <v>Ryan Hughes</v>
      </c>
      <c r="AB4">
        <f t="shared" si="4"/>
        <v>91.5</v>
      </c>
      <c r="AC4">
        <f t="shared" si="5"/>
        <v>85.5</v>
      </c>
      <c r="AD4">
        <f>VLOOKUP(Table1610[[#This Row],['#]],Table2711[['#]:[Drop]],16,0)</f>
        <v>0</v>
      </c>
      <c r="AE4">
        <f>COUNTIF($AD$3:AD4,"X")</f>
        <v>0</v>
      </c>
      <c r="AF4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2</v>
      </c>
      <c r="AG4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4">
        <v>2</v>
      </c>
      <c r="AJ4">
        <f t="shared" ref="AJ4:AJ18" si="10">VLOOKUP(AI4,$X$3:$AA$27,3,0)</f>
        <v>20</v>
      </c>
      <c r="AK4" t="str">
        <f t="shared" ref="AK4:AK18" si="11">VLOOKUP(AI4,$X$3:$AA$27,4,0)</f>
        <v>Ryan Hughes</v>
      </c>
      <c r="AM4" s="1">
        <v>16</v>
      </c>
      <c r="AN4" s="1">
        <f>VLOOKUP(AM4,$AI$3:$AL$18,2,0)</f>
        <v>420</v>
      </c>
      <c r="AO4" s="1" t="str">
        <f>VLOOKUP(AM4,$AI$3:$AL$18,3,0)</f>
        <v>Harry Love</v>
      </c>
    </row>
    <row r="5" spans="1:41" x14ac:dyDescent="0.3">
      <c r="A5">
        <v>3</v>
      </c>
      <c r="B5">
        <f>VLOOKUP('Round 3'!$A5,INDEX(Entry!$E$2:$U$23,1,'Round 3'!$A$1*2-1):'Entry'!$U$33,18-$A$1*2,0)</f>
        <v>39</v>
      </c>
      <c r="C5" t="str">
        <f>VLOOKUP('Round 3'!$A5,INDEX(Entry!$E$2:$U$23,1,'Round 3'!$A$1*2-1):'Entry'!$U$33,19-$A$1*2,0)</f>
        <v>Paul Beechey</v>
      </c>
      <c r="D5" s="6" t="s">
        <v>106</v>
      </c>
      <c r="E5" s="6">
        <v>25</v>
      </c>
      <c r="F5" s="6">
        <v>20</v>
      </c>
      <c r="H5">
        <f t="shared" si="6"/>
        <v>22.5</v>
      </c>
      <c r="I5" s="6">
        <v>60</v>
      </c>
      <c r="J5" s="6">
        <v>65</v>
      </c>
      <c r="L5">
        <f t="shared" si="0"/>
        <v>62.5</v>
      </c>
      <c r="M5">
        <f t="shared" si="1"/>
        <v>62.5</v>
      </c>
      <c r="N5">
        <f t="shared" ref="N5:N27" si="12">IF(H5=M5,L5,H5)</f>
        <v>22.5</v>
      </c>
      <c r="O5">
        <f t="shared" si="7"/>
        <v>62.523460999999998</v>
      </c>
      <c r="P5">
        <f t="shared" si="8"/>
        <v>18</v>
      </c>
      <c r="R5">
        <f t="shared" si="9"/>
        <v>39</v>
      </c>
      <c r="S5" t="str">
        <f t="shared" si="9"/>
        <v>Paul Beechey</v>
      </c>
      <c r="T5">
        <f>Table2711[[#This Row],[Max]]</f>
        <v>62.5</v>
      </c>
      <c r="U5">
        <f>Table2711[[#This Row],[Min]]</f>
        <v>22.5</v>
      </c>
      <c r="X5">
        <f>Table1610[[#This Row],[Column1]]</f>
        <v>3</v>
      </c>
      <c r="Y5">
        <v>3</v>
      </c>
      <c r="Z5">
        <f t="shared" si="2"/>
        <v>128</v>
      </c>
      <c r="AA5" t="str">
        <f t="shared" si="3"/>
        <v>Lwi Edwards</v>
      </c>
      <c r="AB5">
        <f t="shared" si="4"/>
        <v>90.5</v>
      </c>
      <c r="AC5">
        <f t="shared" si="5"/>
        <v>86.5</v>
      </c>
      <c r="AD5">
        <f>VLOOKUP(Table1610[[#This Row],['#]],Table2711[['#]:[Drop]],16,0)</f>
        <v>0</v>
      </c>
      <c r="AE5">
        <f>COUNTIF($AD$3:AD5,"X")</f>
        <v>0</v>
      </c>
      <c r="AF5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3</v>
      </c>
      <c r="AG5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5">
        <v>3</v>
      </c>
      <c r="AJ5">
        <f t="shared" si="10"/>
        <v>128</v>
      </c>
      <c r="AK5" t="str">
        <f t="shared" si="11"/>
        <v>Lwi Edwards</v>
      </c>
    </row>
    <row r="6" spans="1:41" x14ac:dyDescent="0.3">
      <c r="A6">
        <v>4</v>
      </c>
      <c r="B6">
        <f>VLOOKUP('Round 3'!$A6,INDEX(Entry!$E$2:$U$23,1,'Round 3'!$A$1*2-1):'Entry'!$U$33,18-$A$1*2,0)</f>
        <v>41</v>
      </c>
      <c r="C6" t="str">
        <f>VLOOKUP('Round 3'!$A6,INDEX(Entry!$E$2:$U$23,1,'Round 3'!$A$1*2-1):'Entry'!$U$33,19-$A$1*2,0)</f>
        <v>Ian Phillips</v>
      </c>
      <c r="D6" s="6" t="s">
        <v>106</v>
      </c>
      <c r="E6" s="6">
        <v>75</v>
      </c>
      <c r="F6" s="6">
        <v>70</v>
      </c>
      <c r="H6">
        <f t="shared" si="6"/>
        <v>72.5</v>
      </c>
      <c r="I6" s="6">
        <v>75</v>
      </c>
      <c r="J6" s="6">
        <v>81</v>
      </c>
      <c r="L6">
        <f t="shared" si="0"/>
        <v>78</v>
      </c>
      <c r="M6">
        <f t="shared" si="1"/>
        <v>78</v>
      </c>
      <c r="N6">
        <f t="shared" si="12"/>
        <v>72.5</v>
      </c>
      <c r="O6">
        <f t="shared" si="7"/>
        <v>78.073459</v>
      </c>
      <c r="P6">
        <f t="shared" si="8"/>
        <v>13</v>
      </c>
      <c r="R6">
        <f t="shared" si="9"/>
        <v>41</v>
      </c>
      <c r="S6" t="str">
        <f t="shared" si="9"/>
        <v>Ian Phillips</v>
      </c>
      <c r="T6">
        <f>Table2711[[#This Row],[Max]]</f>
        <v>78</v>
      </c>
      <c r="U6">
        <f>Table2711[[#This Row],[Min]]</f>
        <v>72.5</v>
      </c>
      <c r="X6">
        <f>Table1610[[#This Row],[Column1]]</f>
        <v>4</v>
      </c>
      <c r="Y6">
        <v>4</v>
      </c>
      <c r="Z6">
        <f t="shared" si="2"/>
        <v>93</v>
      </c>
      <c r="AA6" t="str">
        <f t="shared" si="3"/>
        <v>Josh King</v>
      </c>
      <c r="AB6">
        <f t="shared" si="4"/>
        <v>89</v>
      </c>
      <c r="AC6">
        <f t="shared" si="5"/>
        <v>83</v>
      </c>
      <c r="AD6">
        <f>VLOOKUP(Table1610[[#This Row],['#]],Table2711[['#]:[Drop]],16,0)</f>
        <v>0</v>
      </c>
      <c r="AE6">
        <f>COUNTIF($AD$3:AD6,"X")</f>
        <v>0</v>
      </c>
      <c r="AF6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4</v>
      </c>
      <c r="AG6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6">
        <v>4</v>
      </c>
      <c r="AJ6">
        <f t="shared" si="10"/>
        <v>93</v>
      </c>
      <c r="AK6" t="str">
        <f t="shared" si="11"/>
        <v>Josh King</v>
      </c>
      <c r="AM6" s="1">
        <v>8</v>
      </c>
      <c r="AN6" s="1">
        <f>VLOOKUP(AM6,$AI$3:$AL$18,2,0)</f>
        <v>26</v>
      </c>
      <c r="AO6" s="1" t="str">
        <f>VLOOKUP(AM6,$AI$3:$AL$18,3,0)</f>
        <v>Haydn Cruickshank</v>
      </c>
    </row>
    <row r="7" spans="1:41" x14ac:dyDescent="0.3">
      <c r="A7">
        <v>5</v>
      </c>
      <c r="B7">
        <f>VLOOKUP('Round 3'!$A7,INDEX(Entry!$E$2:$U$23,1,'Round 3'!$A$1*2-1):'Entry'!$U$33,18-$A$1*2,0)</f>
        <v>55</v>
      </c>
      <c r="C7" t="str">
        <f>VLOOKUP('Round 3'!$A7,INDEX(Entry!$E$2:$U$23,1,'Round 3'!$A$1*2-1):'Entry'!$U$33,19-$A$1*2,0)</f>
        <v>Oliver Evans</v>
      </c>
      <c r="D7" s="6" t="s">
        <v>106</v>
      </c>
      <c r="E7" s="6">
        <v>84</v>
      </c>
      <c r="F7" s="6">
        <v>82</v>
      </c>
      <c r="H7">
        <f t="shared" si="6"/>
        <v>83</v>
      </c>
      <c r="I7" s="6">
        <v>86</v>
      </c>
      <c r="J7" s="6">
        <v>86</v>
      </c>
      <c r="L7">
        <f t="shared" si="0"/>
        <v>86</v>
      </c>
      <c r="M7">
        <f t="shared" si="1"/>
        <v>86</v>
      </c>
      <c r="N7">
        <f t="shared" si="12"/>
        <v>83</v>
      </c>
      <c r="O7">
        <f t="shared" si="7"/>
        <v>86.083945</v>
      </c>
      <c r="P7">
        <f t="shared" si="8"/>
        <v>9</v>
      </c>
      <c r="R7">
        <f t="shared" si="9"/>
        <v>55</v>
      </c>
      <c r="S7" t="str">
        <f t="shared" si="9"/>
        <v>Oliver Evans</v>
      </c>
      <c r="T7">
        <f>Table2711[[#This Row],[Max]]</f>
        <v>86</v>
      </c>
      <c r="U7">
        <f>Table2711[[#This Row],[Min]]</f>
        <v>83</v>
      </c>
      <c r="X7">
        <f>Table1610[[#This Row],[Column1]]</f>
        <v>5</v>
      </c>
      <c r="Y7">
        <v>5</v>
      </c>
      <c r="Z7">
        <f t="shared" si="2"/>
        <v>94</v>
      </c>
      <c r="AA7" t="str">
        <f t="shared" si="3"/>
        <v>Paul Cunnington</v>
      </c>
      <c r="AB7">
        <f t="shared" si="4"/>
        <v>88.5</v>
      </c>
      <c r="AC7">
        <f t="shared" si="5"/>
        <v>88</v>
      </c>
      <c r="AD7">
        <f>VLOOKUP(Table1610[[#This Row],['#]],Table2711[['#]:[Drop]],16,0)</f>
        <v>0</v>
      </c>
      <c r="AE7">
        <f>COUNTIF($AD$3:AD7,"X")</f>
        <v>0</v>
      </c>
      <c r="AF7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5</v>
      </c>
      <c r="AG7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7">
        <v>5</v>
      </c>
      <c r="AJ7">
        <f t="shared" si="10"/>
        <v>94</v>
      </c>
      <c r="AK7" t="str">
        <f t="shared" si="11"/>
        <v>Paul Cunnington</v>
      </c>
      <c r="AM7" s="1">
        <v>9</v>
      </c>
      <c r="AN7" s="1">
        <f>VLOOKUP(AM7,$AI$3:$AL$18,2,0)</f>
        <v>55</v>
      </c>
      <c r="AO7" s="1" t="str">
        <f>VLOOKUP(AM7,$AI$3:$AL$18,3,0)</f>
        <v>Oliver Evans</v>
      </c>
    </row>
    <row r="8" spans="1:41" x14ac:dyDescent="0.3">
      <c r="A8">
        <v>6</v>
      </c>
      <c r="B8">
        <f>VLOOKUP('Round 3'!$A8,INDEX(Entry!$E$2:$U$23,1,'Round 3'!$A$1*2-1):'Entry'!$U$33,18-$A$1*2,0)</f>
        <v>56</v>
      </c>
      <c r="C8" t="str">
        <f>VLOOKUP('Round 3'!$A8,INDEX(Entry!$E$2:$U$23,1,'Round 3'!$A$1*2-1):'Entry'!$U$33,19-$A$1*2,0)</f>
        <v>Jonathan Smith</v>
      </c>
      <c r="D8" s="6" t="s">
        <v>106</v>
      </c>
      <c r="E8" s="6">
        <v>80</v>
      </c>
      <c r="F8" s="6">
        <v>73</v>
      </c>
      <c r="H8">
        <f t="shared" si="6"/>
        <v>76.5</v>
      </c>
      <c r="I8" s="6">
        <v>84</v>
      </c>
      <c r="J8" s="6">
        <v>78</v>
      </c>
      <c r="L8">
        <f t="shared" si="0"/>
        <v>81</v>
      </c>
      <c r="M8">
        <f t="shared" si="1"/>
        <v>81</v>
      </c>
      <c r="N8">
        <f t="shared" si="12"/>
        <v>76.5</v>
      </c>
      <c r="O8">
        <f t="shared" si="7"/>
        <v>81.077444</v>
      </c>
      <c r="P8">
        <f t="shared" si="8"/>
        <v>12</v>
      </c>
      <c r="R8">
        <f t="shared" si="9"/>
        <v>56</v>
      </c>
      <c r="S8" t="str">
        <f t="shared" si="9"/>
        <v>Jonathan Smith</v>
      </c>
      <c r="T8">
        <f>Table2711[[#This Row],[Max]]</f>
        <v>81</v>
      </c>
      <c r="U8">
        <f>Table2711[[#This Row],[Min]]</f>
        <v>76.5</v>
      </c>
      <c r="X8">
        <f>Table1610[[#This Row],[Column1]]</f>
        <v>6</v>
      </c>
      <c r="Y8">
        <v>6</v>
      </c>
      <c r="Z8">
        <f t="shared" si="2"/>
        <v>112</v>
      </c>
      <c r="AA8" t="str">
        <f t="shared" si="3"/>
        <v>Nathan Chivers</v>
      </c>
      <c r="AB8">
        <f t="shared" si="4"/>
        <v>87</v>
      </c>
      <c r="AC8">
        <f t="shared" si="5"/>
        <v>86</v>
      </c>
      <c r="AD8">
        <f>VLOOKUP(Table1610[[#This Row],['#]],Table2711[['#]:[Drop]],16,0)</f>
        <v>0</v>
      </c>
      <c r="AE8">
        <f>COUNTIF($AD$3:AD8,"X")</f>
        <v>0</v>
      </c>
      <c r="AF8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6</v>
      </c>
      <c r="AG8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8">
        <v>6</v>
      </c>
      <c r="AJ8">
        <f t="shared" si="10"/>
        <v>112</v>
      </c>
      <c r="AK8" t="str">
        <f t="shared" si="11"/>
        <v>Nathan Chivers</v>
      </c>
    </row>
    <row r="9" spans="1:41" x14ac:dyDescent="0.3">
      <c r="A9">
        <v>7</v>
      </c>
      <c r="B9">
        <f>VLOOKUP('Round 3'!$A9,INDEX(Entry!$E$2:$U$23,1,'Round 3'!$A$1*2-1):'Entry'!$U$33,18-$A$1*2,0)</f>
        <v>61</v>
      </c>
      <c r="C9" t="str">
        <f>VLOOKUP('Round 3'!$A9,INDEX(Entry!$E$2:$U$23,1,'Round 3'!$A$1*2-1):'Entry'!$U$33,19-$A$1*2,0)</f>
        <v>Martin Richards</v>
      </c>
      <c r="D9" s="6" t="s">
        <v>106</v>
      </c>
      <c r="E9" s="6">
        <v>77</v>
      </c>
      <c r="F9" s="6">
        <v>74</v>
      </c>
      <c r="H9">
        <f t="shared" si="6"/>
        <v>75.5</v>
      </c>
      <c r="I9" s="6">
        <v>91</v>
      </c>
      <c r="J9" s="6">
        <v>94</v>
      </c>
      <c r="L9">
        <f t="shared" si="0"/>
        <v>92.5</v>
      </c>
      <c r="M9">
        <f t="shared" si="1"/>
        <v>92.5</v>
      </c>
      <c r="N9">
        <f t="shared" si="12"/>
        <v>75.5</v>
      </c>
      <c r="O9">
        <f t="shared" si="7"/>
        <v>92.576439000000008</v>
      </c>
      <c r="P9">
        <f t="shared" si="8"/>
        <v>1</v>
      </c>
      <c r="R9">
        <f t="shared" si="9"/>
        <v>61</v>
      </c>
      <c r="S9" t="str">
        <f t="shared" si="9"/>
        <v>Martin Richards</v>
      </c>
      <c r="T9">
        <f>Table2711[[#This Row],[Max]]</f>
        <v>92.5</v>
      </c>
      <c r="U9">
        <f>Table2711[[#This Row],[Min]]</f>
        <v>75.5</v>
      </c>
      <c r="X9">
        <f>Table1610[[#This Row],[Column1]]</f>
        <v>7</v>
      </c>
      <c r="Y9">
        <v>7</v>
      </c>
      <c r="Z9">
        <f t="shared" si="2"/>
        <v>265</v>
      </c>
      <c r="AA9" t="str">
        <f t="shared" si="3"/>
        <v>Axel Hildebrand</v>
      </c>
      <c r="AB9">
        <f t="shared" si="4"/>
        <v>87</v>
      </c>
      <c r="AC9">
        <f t="shared" si="5"/>
        <v>80</v>
      </c>
      <c r="AD9">
        <f>VLOOKUP(Table1610[[#This Row],['#]],Table2711[['#]:[Drop]],16,0)</f>
        <v>0</v>
      </c>
      <c r="AE9">
        <f>COUNTIF($AD$3:AD9,"X")</f>
        <v>0</v>
      </c>
      <c r="AF9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7</v>
      </c>
      <c r="AG9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9">
        <v>7</v>
      </c>
      <c r="AJ9">
        <f t="shared" si="10"/>
        <v>265</v>
      </c>
      <c r="AK9" t="str">
        <f t="shared" si="11"/>
        <v>Axel Hildebrand</v>
      </c>
      <c r="AM9" s="1">
        <v>4</v>
      </c>
      <c r="AN9" s="1">
        <f>VLOOKUP(AM9,$AI$3:$AL$18,2,0)</f>
        <v>93</v>
      </c>
      <c r="AO9" s="1" t="str">
        <f>VLOOKUP(AM9,$AI$3:$AL$18,3,0)</f>
        <v>Josh King</v>
      </c>
    </row>
    <row r="10" spans="1:41" x14ac:dyDescent="0.3">
      <c r="A10">
        <v>8</v>
      </c>
      <c r="B10">
        <f>VLOOKUP('Round 3'!$A10,INDEX(Entry!$E$2:$U$23,1,'Round 3'!$A$1*2-1):'Entry'!$U$33,18-$A$1*2,0)</f>
        <v>66</v>
      </c>
      <c r="C10" t="str">
        <f>VLOOKUP('Round 3'!$A10,INDEX(Entry!$E$2:$U$23,1,'Round 3'!$A$1*2-1):'Entry'!$U$33,19-$A$1*2,0)</f>
        <v>Andy Frost</v>
      </c>
      <c r="D10" s="6" t="s">
        <v>106</v>
      </c>
      <c r="E10" s="6">
        <v>77</v>
      </c>
      <c r="F10" s="6">
        <v>72</v>
      </c>
      <c r="H10">
        <f t="shared" si="6"/>
        <v>74.5</v>
      </c>
      <c r="I10" s="6">
        <v>5</v>
      </c>
      <c r="J10" s="6">
        <v>0</v>
      </c>
      <c r="L10">
        <f t="shared" si="0"/>
        <v>2.5</v>
      </c>
      <c r="M10">
        <f t="shared" si="1"/>
        <v>74.5</v>
      </c>
      <c r="N10">
        <f t="shared" si="12"/>
        <v>2.5</v>
      </c>
      <c r="O10">
        <f t="shared" si="7"/>
        <v>74.503433999999999</v>
      </c>
      <c r="P10">
        <f t="shared" si="8"/>
        <v>15</v>
      </c>
      <c r="R10">
        <f t="shared" si="9"/>
        <v>66</v>
      </c>
      <c r="S10" t="str">
        <f t="shared" si="9"/>
        <v>Andy Frost</v>
      </c>
      <c r="T10">
        <f>Table2711[[#This Row],[Max]]</f>
        <v>74.5</v>
      </c>
      <c r="U10">
        <f>Table2711[[#This Row],[Min]]</f>
        <v>2.5</v>
      </c>
      <c r="X10">
        <f>Table1610[[#This Row],[Column1]]</f>
        <v>8</v>
      </c>
      <c r="Y10">
        <v>8</v>
      </c>
      <c r="Z10">
        <f t="shared" si="2"/>
        <v>26</v>
      </c>
      <c r="AA10" t="str">
        <f t="shared" si="3"/>
        <v>Haydn Cruickshank</v>
      </c>
      <c r="AB10">
        <f t="shared" si="4"/>
        <v>86.5</v>
      </c>
      <c r="AC10">
        <f t="shared" si="5"/>
        <v>79</v>
      </c>
      <c r="AD10">
        <f>VLOOKUP(Table1610[[#This Row],['#]],Table2711[['#]:[Drop]],16,0)</f>
        <v>0</v>
      </c>
      <c r="AE10">
        <f>COUNTIF($AD$3:AD10,"X")</f>
        <v>0</v>
      </c>
      <c r="AF10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8</v>
      </c>
      <c r="AG10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0">
        <v>8</v>
      </c>
      <c r="AJ10">
        <f t="shared" si="10"/>
        <v>26</v>
      </c>
      <c r="AK10" t="str">
        <f t="shared" si="11"/>
        <v>Haydn Cruickshank</v>
      </c>
      <c r="AM10" s="1">
        <v>13</v>
      </c>
      <c r="AN10" s="1">
        <f>VLOOKUP(AM10,$AI$3:$AL$18,2,0)</f>
        <v>41</v>
      </c>
      <c r="AO10" s="1" t="str">
        <f>VLOOKUP(AM10,$AI$3:$AL$18,3,0)</f>
        <v>Ian Phillips</v>
      </c>
    </row>
    <row r="11" spans="1:41" x14ac:dyDescent="0.3">
      <c r="A11">
        <v>9</v>
      </c>
      <c r="B11">
        <f>VLOOKUP('Round 3'!$A11,INDEX(Entry!$E$2:$U$23,1,'Round 3'!$A$1*2-1):'Entry'!$U$33,18-$A$1*2,0)</f>
        <v>86</v>
      </c>
      <c r="C11" t="str">
        <f>VLOOKUP('Round 3'!$A11,INDEX(Entry!$E$2:$U$23,1,'Round 3'!$A$1*2-1):'Entry'!$U$33,19-$A$1*2,0)</f>
        <v>David Bastin</v>
      </c>
      <c r="D11" s="6" t="s">
        <v>106</v>
      </c>
      <c r="E11" s="6">
        <v>85</v>
      </c>
      <c r="F11" s="6">
        <v>85</v>
      </c>
      <c r="H11">
        <f t="shared" si="6"/>
        <v>85</v>
      </c>
      <c r="I11" s="6">
        <v>80</v>
      </c>
      <c r="J11" s="6">
        <v>90</v>
      </c>
      <c r="L11">
        <f t="shared" si="0"/>
        <v>85</v>
      </c>
      <c r="M11">
        <f t="shared" si="1"/>
        <v>85</v>
      </c>
      <c r="N11">
        <f t="shared" si="12"/>
        <v>85</v>
      </c>
      <c r="O11">
        <f t="shared" si="7"/>
        <v>85.085913999999988</v>
      </c>
      <c r="P11">
        <f t="shared" si="8"/>
        <v>11</v>
      </c>
      <c r="R11">
        <f t="shared" si="9"/>
        <v>86</v>
      </c>
      <c r="S11" t="str">
        <f t="shared" si="9"/>
        <v>David Bastin</v>
      </c>
      <c r="T11">
        <f>Table2711[[#This Row],[Max]]</f>
        <v>85</v>
      </c>
      <c r="U11">
        <f>Table2711[[#This Row],[Min]]</f>
        <v>85</v>
      </c>
      <c r="X11">
        <f>Table1610[[#This Row],[Column1]]</f>
        <v>9</v>
      </c>
      <c r="Y11">
        <v>9</v>
      </c>
      <c r="Z11">
        <f t="shared" si="2"/>
        <v>55</v>
      </c>
      <c r="AA11" t="str">
        <f t="shared" si="3"/>
        <v>Oliver Evans</v>
      </c>
      <c r="AB11">
        <f t="shared" si="4"/>
        <v>86</v>
      </c>
      <c r="AC11">
        <f t="shared" si="5"/>
        <v>83</v>
      </c>
      <c r="AD11">
        <f>VLOOKUP(Table1610[[#This Row],['#]],Table2711[['#]:[Drop]],16,0)</f>
        <v>0</v>
      </c>
      <c r="AE11">
        <f>COUNTIF($AD$3:AD11,"X")</f>
        <v>0</v>
      </c>
      <c r="AF11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9</v>
      </c>
      <c r="AG11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1">
        <v>9</v>
      </c>
      <c r="AJ11">
        <f t="shared" si="10"/>
        <v>55</v>
      </c>
      <c r="AK11" t="str">
        <f t="shared" si="11"/>
        <v>Oliver Evans</v>
      </c>
    </row>
    <row r="12" spans="1:41" x14ac:dyDescent="0.3">
      <c r="A12">
        <v>10</v>
      </c>
      <c r="B12">
        <f>VLOOKUP('Round 3'!$A12,INDEX(Entry!$E$2:$U$23,1,'Round 3'!$A$1*2-1):'Entry'!$U$33,18-$A$1*2,0)</f>
        <v>93</v>
      </c>
      <c r="C12" t="str">
        <f>VLOOKUP('Round 3'!$A12,INDEX(Entry!$E$2:$U$23,1,'Round 3'!$A$1*2-1):'Entry'!$U$33,19-$A$1*2,0)</f>
        <v>Josh King</v>
      </c>
      <c r="D12" s="6" t="s">
        <v>106</v>
      </c>
      <c r="E12" s="6">
        <v>85</v>
      </c>
      <c r="F12" s="6">
        <v>81</v>
      </c>
      <c r="H12">
        <f t="shared" si="6"/>
        <v>83</v>
      </c>
      <c r="I12" s="6">
        <v>88</v>
      </c>
      <c r="J12" s="6">
        <v>90</v>
      </c>
      <c r="L12">
        <f t="shared" si="0"/>
        <v>89</v>
      </c>
      <c r="M12">
        <f t="shared" si="1"/>
        <v>89</v>
      </c>
      <c r="N12">
        <f t="shared" si="12"/>
        <v>83</v>
      </c>
      <c r="O12">
        <f t="shared" si="7"/>
        <v>89.083906999999996</v>
      </c>
      <c r="P12">
        <f t="shared" si="8"/>
        <v>4</v>
      </c>
      <c r="R12">
        <f t="shared" si="9"/>
        <v>93</v>
      </c>
      <c r="S12" t="str">
        <f t="shared" si="9"/>
        <v>Josh King</v>
      </c>
      <c r="T12">
        <f>Table2711[[#This Row],[Max]]</f>
        <v>89</v>
      </c>
      <c r="U12">
        <f>Table2711[[#This Row],[Min]]</f>
        <v>83</v>
      </c>
      <c r="X12">
        <f>Table1610[[#This Row],[Column1]]</f>
        <v>10</v>
      </c>
      <c r="Y12">
        <v>10</v>
      </c>
      <c r="Z12">
        <f t="shared" si="2"/>
        <v>157</v>
      </c>
      <c r="AA12" t="str">
        <f t="shared" si="3"/>
        <v>George Barclay</v>
      </c>
      <c r="AB12">
        <f t="shared" si="4"/>
        <v>85.5</v>
      </c>
      <c r="AC12">
        <f t="shared" si="5"/>
        <v>79</v>
      </c>
      <c r="AD12">
        <f>VLOOKUP(Table1610[[#This Row],['#]],Table2711[['#]:[Drop]],16,0)</f>
        <v>0</v>
      </c>
      <c r="AE12">
        <f>COUNTIF($AD$3:AD12,"X")</f>
        <v>0</v>
      </c>
      <c r="AF12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10</v>
      </c>
      <c r="AG12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2">
        <v>10</v>
      </c>
      <c r="AJ12">
        <f t="shared" si="10"/>
        <v>157</v>
      </c>
      <c r="AK12" t="str">
        <f t="shared" si="11"/>
        <v>George Barclay</v>
      </c>
      <c r="AM12" s="1">
        <v>5</v>
      </c>
      <c r="AN12" s="1">
        <f>VLOOKUP(AM12,$AI$3:$AL$18,2,0)</f>
        <v>94</v>
      </c>
      <c r="AO12" s="1" t="str">
        <f>VLOOKUP(AM12,$AI$3:$AL$18,3,0)</f>
        <v>Paul Cunnington</v>
      </c>
    </row>
    <row r="13" spans="1:41" x14ac:dyDescent="0.3">
      <c r="A13">
        <v>11</v>
      </c>
      <c r="B13">
        <f>VLOOKUP('Round 3'!$A13,INDEX(Entry!$E$2:$U$23,1,'Round 3'!$A$1*2-1):'Entry'!$U$33,18-$A$1*2,0)</f>
        <v>94</v>
      </c>
      <c r="C13" t="str">
        <f>VLOOKUP('Round 3'!$A13,INDEX(Entry!$E$2:$U$23,1,'Round 3'!$A$1*2-1):'Entry'!$U$33,19-$A$1*2,0)</f>
        <v>Paul Cunnington</v>
      </c>
      <c r="D13" s="6" t="s">
        <v>106</v>
      </c>
      <c r="E13" s="6">
        <v>88</v>
      </c>
      <c r="F13" s="6">
        <v>89</v>
      </c>
      <c r="H13">
        <f t="shared" si="6"/>
        <v>88.5</v>
      </c>
      <c r="I13" s="6">
        <v>88</v>
      </c>
      <c r="J13" s="6">
        <v>88</v>
      </c>
      <c r="L13">
        <f t="shared" si="0"/>
        <v>88</v>
      </c>
      <c r="M13">
        <f t="shared" si="1"/>
        <v>88.5</v>
      </c>
      <c r="N13">
        <f t="shared" si="12"/>
        <v>88</v>
      </c>
      <c r="O13">
        <f t="shared" si="7"/>
        <v>88.588905999999994</v>
      </c>
      <c r="P13">
        <f t="shared" si="8"/>
        <v>5</v>
      </c>
      <c r="R13">
        <f t="shared" si="9"/>
        <v>94</v>
      </c>
      <c r="S13" t="str">
        <f t="shared" si="9"/>
        <v>Paul Cunnington</v>
      </c>
      <c r="T13">
        <f>Table2711[[#This Row],[Max]]</f>
        <v>88.5</v>
      </c>
      <c r="U13">
        <f>Table2711[[#This Row],[Min]]</f>
        <v>88</v>
      </c>
      <c r="X13">
        <f>Table1610[[#This Row],[Column1]]</f>
        <v>11</v>
      </c>
      <c r="Y13">
        <v>11</v>
      </c>
      <c r="Z13">
        <f t="shared" si="2"/>
        <v>86</v>
      </c>
      <c r="AA13" t="str">
        <f t="shared" si="3"/>
        <v>David Bastin</v>
      </c>
      <c r="AB13">
        <f t="shared" si="4"/>
        <v>85</v>
      </c>
      <c r="AC13">
        <f t="shared" si="5"/>
        <v>85</v>
      </c>
      <c r="AD13">
        <f>VLOOKUP(Table1610[[#This Row],['#]],Table2711[['#]:[Drop]],16,0)</f>
        <v>0</v>
      </c>
      <c r="AE13">
        <f>COUNTIF($AD$3:AD13,"X")</f>
        <v>0</v>
      </c>
      <c r="AF13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11</v>
      </c>
      <c r="AG13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3">
        <v>11</v>
      </c>
      <c r="AJ13">
        <f t="shared" si="10"/>
        <v>86</v>
      </c>
      <c r="AK13" t="str">
        <f t="shared" si="11"/>
        <v>David Bastin</v>
      </c>
      <c r="AM13" s="1">
        <v>12</v>
      </c>
      <c r="AN13" s="1">
        <f>VLOOKUP(AM13,$AI$3:$AL$18,2,0)</f>
        <v>56</v>
      </c>
      <c r="AO13" s="1" t="str">
        <f>VLOOKUP(AM13,$AI$3:$AL$18,3,0)</f>
        <v>Jonathan Smith</v>
      </c>
    </row>
    <row r="14" spans="1:41" x14ac:dyDescent="0.3">
      <c r="A14">
        <v>12</v>
      </c>
      <c r="B14">
        <f>VLOOKUP('Round 3'!$A14,INDEX(Entry!$E$2:$U$23,1,'Round 3'!$A$1*2-1):'Entry'!$U$33,18-$A$1*2,0)</f>
        <v>112</v>
      </c>
      <c r="C14" t="str">
        <f>VLOOKUP('Round 3'!$A14,INDEX(Entry!$E$2:$U$23,1,'Round 3'!$A$1*2-1):'Entry'!$U$33,19-$A$1*2,0)</f>
        <v>Nathan Chivers</v>
      </c>
      <c r="D14" s="6" t="s">
        <v>106</v>
      </c>
      <c r="E14" s="6">
        <v>86</v>
      </c>
      <c r="F14" s="6">
        <v>88</v>
      </c>
      <c r="H14">
        <f t="shared" si="6"/>
        <v>87</v>
      </c>
      <c r="I14" s="6">
        <v>86</v>
      </c>
      <c r="J14" s="6">
        <v>86</v>
      </c>
      <c r="L14">
        <f t="shared" si="0"/>
        <v>86</v>
      </c>
      <c r="M14">
        <f t="shared" si="1"/>
        <v>87</v>
      </c>
      <c r="N14">
        <f t="shared" si="12"/>
        <v>86</v>
      </c>
      <c r="O14">
        <f t="shared" si="7"/>
        <v>87.086888000000002</v>
      </c>
      <c r="P14">
        <f t="shared" si="8"/>
        <v>6</v>
      </c>
      <c r="R14">
        <f t="shared" si="9"/>
        <v>112</v>
      </c>
      <c r="S14" t="str">
        <f t="shared" si="9"/>
        <v>Nathan Chivers</v>
      </c>
      <c r="T14">
        <f>Table2711[[#This Row],[Max]]</f>
        <v>87</v>
      </c>
      <c r="U14">
        <f>Table2711[[#This Row],[Min]]</f>
        <v>86</v>
      </c>
      <c r="X14">
        <f>Table1610[[#This Row],[Column1]]</f>
        <v>12</v>
      </c>
      <c r="Y14">
        <v>12</v>
      </c>
      <c r="Z14">
        <f t="shared" si="2"/>
        <v>56</v>
      </c>
      <c r="AA14" t="str">
        <f t="shared" si="3"/>
        <v>Jonathan Smith</v>
      </c>
      <c r="AB14">
        <f t="shared" si="4"/>
        <v>81</v>
      </c>
      <c r="AC14">
        <f t="shared" si="5"/>
        <v>76.5</v>
      </c>
      <c r="AD14">
        <f>VLOOKUP(Table1610[[#This Row],['#]],Table2711[['#]:[Drop]],16,0)</f>
        <v>0</v>
      </c>
      <c r="AE14">
        <f>COUNTIF($AD$3:AD14,"X")</f>
        <v>0</v>
      </c>
      <c r="AF14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12</v>
      </c>
      <c r="AG14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4">
        <v>12</v>
      </c>
      <c r="AJ14">
        <f t="shared" si="10"/>
        <v>56</v>
      </c>
      <c r="AK14" t="str">
        <f t="shared" si="11"/>
        <v>Jonathan Smith</v>
      </c>
    </row>
    <row r="15" spans="1:41" x14ac:dyDescent="0.3">
      <c r="A15">
        <v>13</v>
      </c>
      <c r="B15">
        <f>VLOOKUP('Round 3'!$A15,INDEX(Entry!$E$2:$U$23,1,'Round 3'!$A$1*2-1):'Entry'!$U$33,18-$A$1*2,0)</f>
        <v>128</v>
      </c>
      <c r="C15" t="str">
        <f>VLOOKUP('Round 3'!$A15,INDEX(Entry!$E$2:$U$23,1,'Round 3'!$A$1*2-1):'Entry'!$U$33,19-$A$1*2,0)</f>
        <v>Lwi Edwards</v>
      </c>
      <c r="D15" s="6" t="s">
        <v>106</v>
      </c>
      <c r="E15" s="6">
        <v>86</v>
      </c>
      <c r="F15" s="6">
        <v>87</v>
      </c>
      <c r="H15">
        <f t="shared" si="6"/>
        <v>86.5</v>
      </c>
      <c r="I15" s="6">
        <v>89</v>
      </c>
      <c r="J15" s="6">
        <v>92</v>
      </c>
      <c r="L15">
        <f t="shared" si="0"/>
        <v>90.5</v>
      </c>
      <c r="M15">
        <f t="shared" si="1"/>
        <v>90.5</v>
      </c>
      <c r="N15">
        <f t="shared" si="12"/>
        <v>86.5</v>
      </c>
      <c r="O15">
        <f t="shared" si="7"/>
        <v>90.587372000000002</v>
      </c>
      <c r="P15">
        <f t="shared" si="8"/>
        <v>3</v>
      </c>
      <c r="R15">
        <f t="shared" si="9"/>
        <v>128</v>
      </c>
      <c r="S15" t="str">
        <f t="shared" si="9"/>
        <v>Lwi Edwards</v>
      </c>
      <c r="T15">
        <f>Table2711[[#This Row],[Max]]</f>
        <v>90.5</v>
      </c>
      <c r="U15">
        <f>Table2711[[#This Row],[Min]]</f>
        <v>86.5</v>
      </c>
      <c r="X15">
        <f>Table1610[[#This Row],[Column1]]</f>
        <v>13</v>
      </c>
      <c r="Y15">
        <v>13</v>
      </c>
      <c r="Z15">
        <f t="shared" si="2"/>
        <v>41</v>
      </c>
      <c r="AA15" t="str">
        <f t="shared" si="3"/>
        <v>Ian Phillips</v>
      </c>
      <c r="AB15">
        <f t="shared" si="4"/>
        <v>78</v>
      </c>
      <c r="AC15">
        <f t="shared" si="5"/>
        <v>72.5</v>
      </c>
      <c r="AD15">
        <f>VLOOKUP(Table1610[[#This Row],['#]],Table2711[['#]:[Drop]],16,0)</f>
        <v>0</v>
      </c>
      <c r="AE15">
        <f>COUNTIF($AD$3:AD15,"X")</f>
        <v>0</v>
      </c>
      <c r="AF15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13</v>
      </c>
      <c r="AG15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5">
        <v>13</v>
      </c>
      <c r="AJ15">
        <f t="shared" si="10"/>
        <v>41</v>
      </c>
      <c r="AK15" t="str">
        <f t="shared" si="11"/>
        <v>Ian Phillips</v>
      </c>
      <c r="AM15" s="1">
        <v>2</v>
      </c>
      <c r="AN15" s="1">
        <f>VLOOKUP(AM15,$AI$3:$AL$18,2,0)</f>
        <v>20</v>
      </c>
      <c r="AO15" s="1" t="str">
        <f>VLOOKUP(AM15,$AI$3:$AL$18,3,0)</f>
        <v>Ryan Hughes</v>
      </c>
    </row>
    <row r="16" spans="1:41" x14ac:dyDescent="0.3">
      <c r="A16">
        <v>14</v>
      </c>
      <c r="B16">
        <f>VLOOKUP('Round 3'!$A16,INDEX(Entry!$E$2:$U$23,1,'Round 3'!$A$1*2-1):'Entry'!$U$33,18-$A$1*2,0)</f>
        <v>147</v>
      </c>
      <c r="C16" t="str">
        <f>VLOOKUP('Round 3'!$A16,INDEX(Entry!$E$2:$U$23,1,'Round 3'!$A$1*2-1):'Entry'!$U$33,19-$A$1*2,0)</f>
        <v>Richie Gilbey</v>
      </c>
      <c r="D16" s="6" t="s">
        <v>106</v>
      </c>
      <c r="H16">
        <f t="shared" si="6"/>
        <v>0</v>
      </c>
      <c r="L16">
        <f t="shared" si="0"/>
        <v>0</v>
      </c>
      <c r="M16">
        <f t="shared" si="1"/>
        <v>0</v>
      </c>
      <c r="N16">
        <f t="shared" si="12"/>
        <v>0</v>
      </c>
      <c r="O16">
        <f t="shared" si="7"/>
        <v>8.5300000000000003E-4</v>
      </c>
      <c r="P16">
        <f t="shared" si="8"/>
        <v>20</v>
      </c>
      <c r="R16">
        <f t="shared" si="9"/>
        <v>147</v>
      </c>
      <c r="S16" t="str">
        <f t="shared" si="9"/>
        <v>Richie Gilbey</v>
      </c>
      <c r="T16">
        <f>Table2711[[#This Row],[Max]]</f>
        <v>0</v>
      </c>
      <c r="U16">
        <f>Table2711[[#This Row],[Min]]</f>
        <v>0</v>
      </c>
      <c r="X16">
        <f>Table1610[[#This Row],[Column1]]</f>
        <v>14</v>
      </c>
      <c r="Y16">
        <v>14</v>
      </c>
      <c r="Z16">
        <f t="shared" si="2"/>
        <v>206</v>
      </c>
      <c r="AA16" t="str">
        <f t="shared" si="3"/>
        <v>Matthew Roberts</v>
      </c>
      <c r="AB16">
        <f t="shared" si="4"/>
        <v>75.5</v>
      </c>
      <c r="AC16">
        <f t="shared" si="5"/>
        <v>61</v>
      </c>
      <c r="AD16">
        <f>VLOOKUP(Table1610[[#This Row],['#]],Table2711[['#]:[Drop]],16,0)</f>
        <v>0</v>
      </c>
      <c r="AE16">
        <f>COUNTIF($AD$3:AD16,"X")</f>
        <v>0</v>
      </c>
      <c r="AF16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14</v>
      </c>
      <c r="AG16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6">
        <v>14</v>
      </c>
      <c r="AJ16">
        <f t="shared" si="10"/>
        <v>206</v>
      </c>
      <c r="AK16" t="str">
        <f t="shared" si="11"/>
        <v>Matthew Roberts</v>
      </c>
      <c r="AM16" s="1">
        <v>15</v>
      </c>
      <c r="AN16" s="1">
        <f>VLOOKUP(AM16,$AI$3:$AL$18,2,0)</f>
        <v>66</v>
      </c>
      <c r="AO16" s="1" t="str">
        <f>VLOOKUP(AM16,$AI$3:$AL$18,3,0)</f>
        <v>Andy Frost</v>
      </c>
    </row>
    <row r="17" spans="1:41" x14ac:dyDescent="0.3">
      <c r="A17">
        <v>15</v>
      </c>
      <c r="B17">
        <f>VLOOKUP('Round 3'!$A17,INDEX(Entry!$E$2:$U$23,1,'Round 3'!$A$1*2-1):'Entry'!$U$33,18-$A$1*2,0)</f>
        <v>157</v>
      </c>
      <c r="C17" t="str">
        <f>VLOOKUP('Round 3'!$A17,INDEX(Entry!$E$2:$U$23,1,'Round 3'!$A$1*2-1):'Entry'!$U$33,19-$A$1*2,0)</f>
        <v>George Barclay</v>
      </c>
      <c r="D17" s="6" t="s">
        <v>106</v>
      </c>
      <c r="E17" s="6">
        <v>85</v>
      </c>
      <c r="F17" s="6">
        <v>86</v>
      </c>
      <c r="H17">
        <f t="shared" si="6"/>
        <v>85.5</v>
      </c>
      <c r="I17" s="6">
        <v>78</v>
      </c>
      <c r="J17" s="6">
        <v>80</v>
      </c>
      <c r="L17">
        <f t="shared" si="0"/>
        <v>79</v>
      </c>
      <c r="M17">
        <f t="shared" si="1"/>
        <v>85.5</v>
      </c>
      <c r="N17">
        <f t="shared" si="12"/>
        <v>79</v>
      </c>
      <c r="O17">
        <f t="shared" si="7"/>
        <v>85.579842999999997</v>
      </c>
      <c r="P17">
        <f t="shared" si="8"/>
        <v>10</v>
      </c>
      <c r="R17">
        <f t="shared" si="9"/>
        <v>157</v>
      </c>
      <c r="S17" t="str">
        <f t="shared" si="9"/>
        <v>George Barclay</v>
      </c>
      <c r="T17">
        <f>Table2711[[#This Row],[Max]]</f>
        <v>85.5</v>
      </c>
      <c r="U17">
        <f>Table2711[[#This Row],[Min]]</f>
        <v>79</v>
      </c>
      <c r="X17">
        <f>Table1610[[#This Row],[Column1]]</f>
        <v>15</v>
      </c>
      <c r="Y17">
        <v>15</v>
      </c>
      <c r="Z17">
        <f t="shared" si="2"/>
        <v>66</v>
      </c>
      <c r="AA17" t="str">
        <f t="shared" si="3"/>
        <v>Andy Frost</v>
      </c>
      <c r="AB17">
        <f t="shared" si="4"/>
        <v>74.5</v>
      </c>
      <c r="AC17">
        <f t="shared" si="5"/>
        <v>2.5</v>
      </c>
      <c r="AD17">
        <f>VLOOKUP(Table1610[[#This Row],['#]],Table2711[['#]:[Drop]],16,0)</f>
        <v>0</v>
      </c>
      <c r="AE17">
        <f>COUNTIF($AD$3:AD17,"X")</f>
        <v>0</v>
      </c>
      <c r="AF17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15</v>
      </c>
      <c r="AG17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7">
        <v>15</v>
      </c>
      <c r="AJ17">
        <f t="shared" si="10"/>
        <v>66</v>
      </c>
      <c r="AK17" t="str">
        <f t="shared" si="11"/>
        <v>Andy Frost</v>
      </c>
    </row>
    <row r="18" spans="1:41" x14ac:dyDescent="0.3">
      <c r="A18">
        <v>16</v>
      </c>
      <c r="B18">
        <f>VLOOKUP('Round 3'!$A18,INDEX(Entry!$E$2:$U$23,1,'Round 3'!$A$1*2-1):'Entry'!$U$33,18-$A$1*2,0)</f>
        <v>265</v>
      </c>
      <c r="C18" t="str">
        <f>VLOOKUP('Round 3'!$A18,INDEX(Entry!$E$2:$U$23,1,'Round 3'!$A$1*2-1):'Entry'!$U$33,19-$A$1*2,0)</f>
        <v>Axel Hildebrand</v>
      </c>
      <c r="D18" s="6" t="s">
        <v>106</v>
      </c>
      <c r="E18" s="6">
        <v>86</v>
      </c>
      <c r="F18" s="6">
        <v>88</v>
      </c>
      <c r="H18">
        <f t="shared" si="6"/>
        <v>87</v>
      </c>
      <c r="I18" s="6">
        <v>80</v>
      </c>
      <c r="J18" s="6">
        <v>80</v>
      </c>
      <c r="L18">
        <f t="shared" si="0"/>
        <v>80</v>
      </c>
      <c r="M18">
        <f t="shared" si="1"/>
        <v>87</v>
      </c>
      <c r="N18">
        <f t="shared" si="12"/>
        <v>80</v>
      </c>
      <c r="O18">
        <f t="shared" si="7"/>
        <v>87.080735000000004</v>
      </c>
      <c r="P18">
        <f t="shared" si="8"/>
        <v>7</v>
      </c>
      <c r="R18">
        <f t="shared" si="9"/>
        <v>265</v>
      </c>
      <c r="S18" t="str">
        <f t="shared" si="9"/>
        <v>Axel Hildebrand</v>
      </c>
      <c r="T18">
        <f>Table2711[[#This Row],[Max]]</f>
        <v>87</v>
      </c>
      <c r="U18">
        <f>Table2711[[#This Row],[Min]]</f>
        <v>80</v>
      </c>
      <c r="X18">
        <f>Table1610[[#This Row],[Column1]]</f>
        <v>16</v>
      </c>
      <c r="Y18">
        <v>16</v>
      </c>
      <c r="Z18">
        <f t="shared" si="2"/>
        <v>420</v>
      </c>
      <c r="AA18" t="str">
        <f t="shared" si="3"/>
        <v>Harry Love</v>
      </c>
      <c r="AB18">
        <f t="shared" si="4"/>
        <v>70</v>
      </c>
      <c r="AC18">
        <f t="shared" si="5"/>
        <v>69</v>
      </c>
      <c r="AD18">
        <f>VLOOKUP(Table1610[[#This Row],['#]],Table2711[['#]:[Drop]],16,0)</f>
        <v>0</v>
      </c>
      <c r="AE18">
        <f>COUNTIF($AD$3:AD18,"X")</f>
        <v>0</v>
      </c>
      <c r="AF18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16</v>
      </c>
      <c r="AG18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I18">
        <v>16</v>
      </c>
      <c r="AJ18">
        <f t="shared" si="10"/>
        <v>420</v>
      </c>
      <c r="AK18" t="str">
        <f t="shared" si="11"/>
        <v>Harry Love</v>
      </c>
      <c r="AM18" s="1">
        <v>7</v>
      </c>
      <c r="AN18" s="1">
        <f>VLOOKUP(AM18,$AI$3:$AL$18,2,0)</f>
        <v>265</v>
      </c>
      <c r="AO18" s="1" t="str">
        <f>VLOOKUP(AM18,$AI$3:$AL$18,3,0)</f>
        <v>Axel Hildebrand</v>
      </c>
    </row>
    <row r="19" spans="1:41" x14ac:dyDescent="0.3">
      <c r="A19">
        <v>17</v>
      </c>
      <c r="B19">
        <f>VLOOKUP('Round 3'!$A19,INDEX(Entry!$E$2:$U$23,1,'Round 3'!$A$1*2-1):'Entry'!$U$33,18-$A$1*2,0)</f>
        <v>353</v>
      </c>
      <c r="C19" t="str">
        <f>VLOOKUP('Round 3'!$A19,INDEX(Entry!$E$2:$U$23,1,'Round 3'!$A$1*2-1):'Entry'!$U$33,19-$A$1*2,0)</f>
        <v>Liam Lawrence</v>
      </c>
      <c r="D19" s="6" t="s">
        <v>106</v>
      </c>
      <c r="E19" s="6">
        <v>70</v>
      </c>
      <c r="F19" s="6">
        <v>70</v>
      </c>
      <c r="H19">
        <f t="shared" si="6"/>
        <v>70</v>
      </c>
      <c r="I19" s="6">
        <v>50</v>
      </c>
      <c r="J19" s="6">
        <v>40</v>
      </c>
      <c r="L19">
        <f t="shared" si="0"/>
        <v>45</v>
      </c>
      <c r="M19">
        <f t="shared" si="1"/>
        <v>70</v>
      </c>
      <c r="N19">
        <f t="shared" si="12"/>
        <v>45</v>
      </c>
      <c r="O19">
        <f t="shared" si="7"/>
        <v>70.045647000000002</v>
      </c>
      <c r="P19">
        <f t="shared" si="8"/>
        <v>17</v>
      </c>
      <c r="R19">
        <f t="shared" si="9"/>
        <v>353</v>
      </c>
      <c r="S19" t="str">
        <f t="shared" si="9"/>
        <v>Liam Lawrence</v>
      </c>
      <c r="T19">
        <f>Table2711[[#This Row],[Max]]</f>
        <v>70</v>
      </c>
      <c r="U19">
        <f>Table2711[[#This Row],[Min]]</f>
        <v>45</v>
      </c>
      <c r="X19">
        <f>Table1610[[#This Row],[Column1]]</f>
        <v>17</v>
      </c>
      <c r="Y19">
        <v>17</v>
      </c>
      <c r="Z19">
        <f t="shared" si="2"/>
        <v>353</v>
      </c>
      <c r="AA19" t="str">
        <f t="shared" si="3"/>
        <v>Liam Lawrence</v>
      </c>
      <c r="AB19">
        <f t="shared" si="4"/>
        <v>70</v>
      </c>
      <c r="AC19">
        <f t="shared" si="5"/>
        <v>45</v>
      </c>
      <c r="AD19">
        <f>VLOOKUP(Table1610[[#This Row],['#]],Table2711[['#]:[Drop]],16,0)</f>
        <v>0</v>
      </c>
      <c r="AE19">
        <f>COUNTIF($AD$3:AD19,"X")</f>
        <v>0</v>
      </c>
      <c r="AF19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17</v>
      </c>
      <c r="AG19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  <c r="AM19" s="1">
        <v>10</v>
      </c>
      <c r="AN19" s="1">
        <f>VLOOKUP(AM19,$AI$3:$AL$18,2,0)</f>
        <v>157</v>
      </c>
      <c r="AO19" s="1" t="str">
        <f>VLOOKUP(AM19,$AI$3:$AL$18,3,0)</f>
        <v>George Barclay</v>
      </c>
    </row>
    <row r="20" spans="1:41" x14ac:dyDescent="0.3">
      <c r="A20">
        <v>18</v>
      </c>
      <c r="B20">
        <f>VLOOKUP('Round 3'!$A20,INDEX(Entry!$E$2:$U$23,1,'Round 3'!$A$1*2-1):'Entry'!$U$33,18-$A$1*2,0)</f>
        <v>420</v>
      </c>
      <c r="C20" t="str">
        <f>VLOOKUP('Round 3'!$A20,INDEX(Entry!$E$2:$U$23,1,'Round 3'!$A$1*2-1):'Entry'!$U$33,19-$A$1*2,0)</f>
        <v>Harry Love</v>
      </c>
      <c r="D20" s="6" t="s">
        <v>106</v>
      </c>
      <c r="E20" s="6">
        <v>70</v>
      </c>
      <c r="F20" s="6">
        <v>68</v>
      </c>
      <c r="H20">
        <f t="shared" si="6"/>
        <v>69</v>
      </c>
      <c r="I20" s="6">
        <v>70</v>
      </c>
      <c r="J20" s="6">
        <v>70</v>
      </c>
      <c r="L20">
        <f t="shared" si="0"/>
        <v>70</v>
      </c>
      <c r="M20">
        <f t="shared" si="1"/>
        <v>70</v>
      </c>
      <c r="N20">
        <f t="shared" si="12"/>
        <v>69</v>
      </c>
      <c r="O20">
        <f t="shared" si="7"/>
        <v>70.069580000000002</v>
      </c>
      <c r="P20">
        <f t="shared" si="8"/>
        <v>16</v>
      </c>
      <c r="R20">
        <f t="shared" si="9"/>
        <v>420</v>
      </c>
      <c r="S20" t="str">
        <f t="shared" si="9"/>
        <v>Harry Love</v>
      </c>
      <c r="T20">
        <f>Table2711[[#This Row],[Max]]</f>
        <v>70</v>
      </c>
      <c r="U20">
        <f>Table2711[[#This Row],[Min]]</f>
        <v>69</v>
      </c>
      <c r="X20">
        <f>Table1610[[#This Row],[Column1]]</f>
        <v>18</v>
      </c>
      <c r="Y20">
        <v>18</v>
      </c>
      <c r="Z20">
        <f t="shared" si="2"/>
        <v>39</v>
      </c>
      <c r="AA20" t="str">
        <f t="shared" si="3"/>
        <v>Paul Beechey</v>
      </c>
      <c r="AB20">
        <f t="shared" si="4"/>
        <v>62.5</v>
      </c>
      <c r="AC20">
        <f t="shared" si="5"/>
        <v>22.5</v>
      </c>
      <c r="AD20">
        <f>VLOOKUP(Table1610[[#This Row],['#]],Table2711[['#]:[Drop]],16,0)</f>
        <v>0</v>
      </c>
      <c r="AE20">
        <f>COUNTIF($AD$3:AD20,"X")</f>
        <v>0</v>
      </c>
      <c r="AF20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18</v>
      </c>
      <c r="AG20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5</v>
      </c>
    </row>
    <row r="21" spans="1:41" x14ac:dyDescent="0.3">
      <c r="A21">
        <v>19</v>
      </c>
      <c r="B21">
        <f>VLOOKUP('Round 3'!$A21,INDEX(Entry!$E$2:$U$23,1,'Round 3'!$A$1*2-1):'Entry'!$U$33,18-$A$1*2,0)</f>
        <v>20</v>
      </c>
      <c r="C21" t="str">
        <f>VLOOKUP('Round 3'!$A21,INDEX(Entry!$E$2:$U$23,1,'Round 3'!$A$1*2-1):'Entry'!$U$33,19-$A$1*2,0)</f>
        <v>Ryan Hughes</v>
      </c>
      <c r="D21" s="6" t="s">
        <v>106</v>
      </c>
      <c r="E21" s="6">
        <v>86</v>
      </c>
      <c r="F21" s="6">
        <v>85</v>
      </c>
      <c r="H21">
        <f t="shared" si="6"/>
        <v>85.5</v>
      </c>
      <c r="I21" s="6">
        <v>90</v>
      </c>
      <c r="J21" s="6">
        <v>93</v>
      </c>
      <c r="L21">
        <f t="shared" si="0"/>
        <v>91.5</v>
      </c>
      <c r="M21">
        <f t="shared" si="1"/>
        <v>91.5</v>
      </c>
      <c r="N21">
        <f t="shared" si="12"/>
        <v>85.5</v>
      </c>
      <c r="O21">
        <f t="shared" si="7"/>
        <v>91.586479999999995</v>
      </c>
      <c r="P21">
        <f t="shared" si="8"/>
        <v>2</v>
      </c>
      <c r="R21">
        <f t="shared" si="9"/>
        <v>20</v>
      </c>
      <c r="S21" t="str">
        <f t="shared" si="9"/>
        <v>Ryan Hughes</v>
      </c>
      <c r="T21">
        <f>Table2711[[#This Row],[Max]]</f>
        <v>91.5</v>
      </c>
      <c r="U21">
        <f>Table2711[[#This Row],[Min]]</f>
        <v>85.5</v>
      </c>
      <c r="X21">
        <f>Table1610[[#This Row],[Column1]]</f>
        <v>19</v>
      </c>
      <c r="Y21">
        <v>19</v>
      </c>
      <c r="Z21">
        <f t="shared" si="2"/>
        <v>18</v>
      </c>
      <c r="AA21" t="str">
        <f t="shared" si="3"/>
        <v>Matthew Denham</v>
      </c>
      <c r="AB21">
        <f t="shared" si="4"/>
        <v>0</v>
      </c>
      <c r="AC21">
        <f t="shared" si="5"/>
        <v>0</v>
      </c>
      <c r="AD21">
        <f>VLOOKUP(Table1610[[#This Row],['#]],Table2711[['#]:[Drop]],16,0)</f>
        <v>0</v>
      </c>
      <c r="AE21">
        <f>COUNTIF($AD$3:AD21,"X")</f>
        <v>0</v>
      </c>
      <c r="AF21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19</v>
      </c>
      <c r="AG21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0</v>
      </c>
      <c r="AM21" s="1">
        <v>3</v>
      </c>
      <c r="AN21" s="1">
        <f>VLOOKUP(AM21,$AI$3:$AL$18,2,0)</f>
        <v>128</v>
      </c>
      <c r="AO21" s="1" t="str">
        <f>VLOOKUP(AM21,$AI$3:$AL$18,3,0)</f>
        <v>Lwi Edwards</v>
      </c>
    </row>
    <row r="22" spans="1:41" x14ac:dyDescent="0.3">
      <c r="A22">
        <v>20</v>
      </c>
      <c r="B22">
        <f>VLOOKUP('Round 3'!$A22,INDEX(Entry!$E$2:$U$23,1,'Round 3'!$A$1*2-1):'Entry'!$U$33,18-$A$1*2,0)</f>
        <v>206</v>
      </c>
      <c r="C22" t="str">
        <f>VLOOKUP('Round 3'!$A22,INDEX(Entry!$E$2:$U$23,1,'Round 3'!$A$1*2-1):'Entry'!$U$33,19-$A$1*2,0)</f>
        <v>Matthew Roberts</v>
      </c>
      <c r="D22" s="6" t="s">
        <v>106</v>
      </c>
      <c r="E22" s="6">
        <v>60</v>
      </c>
      <c r="F22" s="6">
        <v>62</v>
      </c>
      <c r="H22">
        <f t="shared" si="6"/>
        <v>61</v>
      </c>
      <c r="I22" s="6">
        <v>75</v>
      </c>
      <c r="J22" s="6">
        <v>76</v>
      </c>
      <c r="L22">
        <f t="shared" si="0"/>
        <v>75.5</v>
      </c>
      <c r="M22">
        <f t="shared" si="1"/>
        <v>75.5</v>
      </c>
      <c r="N22">
        <f t="shared" si="12"/>
        <v>61</v>
      </c>
      <c r="O22">
        <f t="shared" si="7"/>
        <v>75.561794000000006</v>
      </c>
      <c r="P22">
        <f t="shared" si="8"/>
        <v>14</v>
      </c>
      <c r="R22">
        <f t="shared" si="9"/>
        <v>206</v>
      </c>
      <c r="S22" t="str">
        <f t="shared" si="9"/>
        <v>Matthew Roberts</v>
      </c>
      <c r="T22">
        <f>Table2711[[#This Row],[Max]]</f>
        <v>75.5</v>
      </c>
      <c r="U22">
        <f>Table2711[[#This Row],[Min]]</f>
        <v>61</v>
      </c>
      <c r="X22">
        <f>Table1610[[#This Row],[Column1]]</f>
        <v>20</v>
      </c>
      <c r="Y22">
        <v>20</v>
      </c>
      <c r="Z22">
        <f t="shared" si="2"/>
        <v>147</v>
      </c>
      <c r="AA22" t="str">
        <f t="shared" si="3"/>
        <v>Richie Gilbey</v>
      </c>
      <c r="AB22">
        <f t="shared" si="4"/>
        <v>0</v>
      </c>
      <c r="AC22">
        <f t="shared" si="5"/>
        <v>0</v>
      </c>
      <c r="AD22">
        <f>VLOOKUP(Table1610[[#This Row],['#]],Table2711[['#]:[Drop]],16,0)</f>
        <v>0</v>
      </c>
      <c r="AE22">
        <f>COUNTIF($AD$3:AD22,"X")</f>
        <v>0</v>
      </c>
      <c r="AF22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20</v>
      </c>
      <c r="AG22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1</v>
      </c>
      <c r="AM22" s="1">
        <v>14</v>
      </c>
      <c r="AN22" s="1">
        <f>VLOOKUP(AM22,$AI$3:$AL$18,2,0)</f>
        <v>206</v>
      </c>
      <c r="AO22" s="1" t="str">
        <f>VLOOKUP(AM22,$AI$3:$AL$18,3,0)</f>
        <v>Matthew Roberts</v>
      </c>
    </row>
    <row r="23" spans="1:41" x14ac:dyDescent="0.3">
      <c r="A23">
        <v>21</v>
      </c>
      <c r="B23" t="e">
        <f>VLOOKUP('Round 3'!$A23,INDEX(Entry!$E$2:$U$23,1,'Round 3'!$A$1*2-1):'Entry'!$U$33,18-$A$1*2,0)</f>
        <v>#N/A</v>
      </c>
      <c r="C23" t="e">
        <f>VLOOKUP('Round 3'!$A23,INDEX(Entry!$E$2:$U$23,1,'Round 3'!$A$1*2-1):'Entry'!$U$33,19-$A$1*2,0)</f>
        <v>#N/A</v>
      </c>
      <c r="H23">
        <f t="shared" si="6"/>
        <v>0</v>
      </c>
      <c r="L23">
        <f t="shared" si="0"/>
        <v>0</v>
      </c>
      <c r="M23">
        <f t="shared" si="1"/>
        <v>0</v>
      </c>
      <c r="N23">
        <f t="shared" si="12"/>
        <v>0</v>
      </c>
      <c r="O23">
        <f t="shared" si="7"/>
        <v>0</v>
      </c>
      <c r="P23">
        <f t="shared" si="8"/>
        <v>21</v>
      </c>
      <c r="R23" t="e">
        <f t="shared" si="9"/>
        <v>#N/A</v>
      </c>
      <c r="S23" t="e">
        <f t="shared" si="9"/>
        <v>#N/A</v>
      </c>
      <c r="T23">
        <f>Table2711[[#This Row],[Max]]</f>
        <v>0</v>
      </c>
      <c r="U23">
        <f>Table2711[[#This Row],[Min]]</f>
        <v>0</v>
      </c>
      <c r="X23" t="e">
        <f>Table1610[[#This Row],[Column1]]</f>
        <v>#N/A</v>
      </c>
      <c r="Y23">
        <v>21</v>
      </c>
      <c r="Z23" t="e">
        <f t="shared" si="2"/>
        <v>#N/A</v>
      </c>
      <c r="AA23" t="e">
        <f t="shared" si="3"/>
        <v>#N/A</v>
      </c>
      <c r="AB23">
        <f t="shared" si="4"/>
        <v>0</v>
      </c>
      <c r="AC23">
        <f t="shared" si="5"/>
        <v>0</v>
      </c>
      <c r="AD23" t="e">
        <f>VLOOKUP(Table1610[[#This Row],['#]],Table2711[['#]:[Drop]],16,0)</f>
        <v>#N/A</v>
      </c>
      <c r="AE23">
        <f>COUNTIF($AD$3:AD23,"X")</f>
        <v>0</v>
      </c>
      <c r="AF23" t="e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#N/A</v>
      </c>
      <c r="AG23" t="e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#N/A</v>
      </c>
    </row>
    <row r="24" spans="1:41" x14ac:dyDescent="0.3">
      <c r="A24">
        <v>22</v>
      </c>
      <c r="B24" t="e">
        <f>VLOOKUP('Round 3'!$A24,INDEX(Entry!$E$2:$U$23,1,'Round 3'!$A$1*2-1):'Entry'!$U$33,18-$A$1*2,0)</f>
        <v>#N/A</v>
      </c>
      <c r="C24" t="e">
        <f>VLOOKUP('Round 3'!$A24,INDEX(Entry!$E$2:$U$23,1,'Round 3'!$A$1*2-1):'Entry'!$U$33,19-$A$1*2,0)</f>
        <v>#N/A</v>
      </c>
      <c r="H24">
        <f t="shared" si="6"/>
        <v>0</v>
      </c>
      <c r="L24">
        <f t="shared" si="0"/>
        <v>0</v>
      </c>
      <c r="M24">
        <f t="shared" si="1"/>
        <v>0</v>
      </c>
      <c r="N24">
        <f t="shared" si="12"/>
        <v>0</v>
      </c>
      <c r="O24">
        <f t="shared" si="7"/>
        <v>0</v>
      </c>
      <c r="P24">
        <f t="shared" si="8"/>
        <v>21</v>
      </c>
      <c r="R24" t="e">
        <f t="shared" si="9"/>
        <v>#N/A</v>
      </c>
      <c r="S24" t="e">
        <f t="shared" si="9"/>
        <v>#N/A</v>
      </c>
      <c r="T24">
        <f>Table2711[[#This Row],[Max]]</f>
        <v>0</v>
      </c>
      <c r="U24">
        <f>Table2711[[#This Row],[Min]]</f>
        <v>0</v>
      </c>
      <c r="X24" t="e">
        <f>Table1610[[#This Row],[Column1]]</f>
        <v>#N/A</v>
      </c>
      <c r="Y24">
        <v>22</v>
      </c>
      <c r="Z24" t="e">
        <f t="shared" si="2"/>
        <v>#N/A</v>
      </c>
      <c r="AA24" t="e">
        <f t="shared" si="3"/>
        <v>#N/A</v>
      </c>
      <c r="AB24" t="e">
        <f t="shared" si="4"/>
        <v>#N/A</v>
      </c>
      <c r="AC24" t="e">
        <f t="shared" si="5"/>
        <v>#N/A</v>
      </c>
      <c r="AD24" t="e">
        <f>VLOOKUP(Table1610[[#This Row],['#]],Table2711[['#]:[Drop]],16,0)</f>
        <v>#N/A</v>
      </c>
      <c r="AE24">
        <f>COUNTIF($AD$3:AD24,"X")</f>
        <v>0</v>
      </c>
      <c r="AF24" t="e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#N/A</v>
      </c>
      <c r="AG24" t="e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#N/A</v>
      </c>
      <c r="AM24" s="1">
        <v>6</v>
      </c>
      <c r="AN24" s="1">
        <f>VLOOKUP(AM24,$AI$3:$AL$18,2,0)</f>
        <v>112</v>
      </c>
      <c r="AO24" s="1" t="str">
        <f>VLOOKUP(AM24,$AI$3:$AL$18,3,0)</f>
        <v>Nathan Chivers</v>
      </c>
    </row>
    <row r="25" spans="1:41" x14ac:dyDescent="0.3">
      <c r="A25">
        <v>23</v>
      </c>
      <c r="B25" t="e">
        <f>VLOOKUP('Round 3'!$A25,INDEX(Entry!$E$2:$U$23,1,'Round 3'!$A$1*2-1):'Entry'!$U$33,18-$A$1*2,0)</f>
        <v>#N/A</v>
      </c>
      <c r="C25" t="e">
        <f>VLOOKUP('Round 3'!$A25,INDEX(Entry!$E$2:$U$23,1,'Round 3'!$A$1*2-1):'Entry'!$U$33,19-$A$1*2,0)</f>
        <v>#N/A</v>
      </c>
      <c r="H25">
        <f t="shared" si="6"/>
        <v>0</v>
      </c>
      <c r="L25">
        <f t="shared" si="0"/>
        <v>0</v>
      </c>
      <c r="M25">
        <f t="shared" si="1"/>
        <v>0</v>
      </c>
      <c r="N25">
        <f t="shared" si="12"/>
        <v>0</v>
      </c>
      <c r="O25">
        <f t="shared" si="7"/>
        <v>0</v>
      </c>
      <c r="P25">
        <f t="shared" si="8"/>
        <v>21</v>
      </c>
      <c r="R25" t="e">
        <f t="shared" si="9"/>
        <v>#N/A</v>
      </c>
      <c r="S25" t="e">
        <f t="shared" si="9"/>
        <v>#N/A</v>
      </c>
      <c r="T25">
        <f>Table2711[[#This Row],[Max]]</f>
        <v>0</v>
      </c>
      <c r="U25">
        <f>Table2711[[#This Row],[Min]]</f>
        <v>0</v>
      </c>
      <c r="X25" t="e">
        <f>Table1610[[#This Row],[Column1]]</f>
        <v>#N/A</v>
      </c>
      <c r="Y25">
        <v>23</v>
      </c>
      <c r="Z25" t="e">
        <f t="shared" si="2"/>
        <v>#N/A</v>
      </c>
      <c r="AA25" t="e">
        <f t="shared" si="3"/>
        <v>#N/A</v>
      </c>
      <c r="AB25" t="e">
        <f t="shared" si="4"/>
        <v>#N/A</v>
      </c>
      <c r="AC25" t="e">
        <f t="shared" si="5"/>
        <v>#N/A</v>
      </c>
      <c r="AD25" t="e">
        <f>VLOOKUP(Table1610[[#This Row],['#]],Table2711[['#]:[Drop]],16,0)</f>
        <v>#N/A</v>
      </c>
      <c r="AE25">
        <f>COUNTIF($AD$3:AD25,"X")</f>
        <v>0</v>
      </c>
      <c r="AF25" t="e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#N/A</v>
      </c>
      <c r="AG25" t="e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#N/A</v>
      </c>
      <c r="AM25" s="1">
        <v>11</v>
      </c>
      <c r="AN25" s="1">
        <f>VLOOKUP(AM25,$AI$3:$AL$18,2,0)</f>
        <v>86</v>
      </c>
      <c r="AO25" s="1" t="str">
        <f>VLOOKUP(AM25,$AI$3:$AL$18,3,0)</f>
        <v>David Bastin</v>
      </c>
    </row>
    <row r="26" spans="1:41" x14ac:dyDescent="0.3">
      <c r="A26">
        <v>24</v>
      </c>
      <c r="B26" t="e">
        <f>VLOOKUP('Round 3'!$A26,INDEX(Entry!$E$2:$U$23,1,'Round 3'!$A$1*2-1):'Entry'!$U$33,18-$A$1*2,0)</f>
        <v>#N/A</v>
      </c>
      <c r="C26" t="e">
        <f>VLOOKUP('Round 3'!$A26,INDEX(Entry!$E$2:$U$23,1,'Round 3'!$A$1*2-1):'Entry'!$U$33,19-$A$1*2,0)</f>
        <v>#N/A</v>
      </c>
      <c r="H26">
        <f t="shared" si="6"/>
        <v>0</v>
      </c>
      <c r="L26">
        <f t="shared" si="0"/>
        <v>0</v>
      </c>
      <c r="M26">
        <f t="shared" si="1"/>
        <v>0</v>
      </c>
      <c r="N26">
        <f t="shared" si="12"/>
        <v>0</v>
      </c>
      <c r="O26">
        <f t="shared" si="7"/>
        <v>0</v>
      </c>
      <c r="P26">
        <f t="shared" si="8"/>
        <v>21</v>
      </c>
      <c r="R26" t="e">
        <f t="shared" si="9"/>
        <v>#N/A</v>
      </c>
      <c r="S26" t="e">
        <f t="shared" si="9"/>
        <v>#N/A</v>
      </c>
      <c r="T26">
        <f>Table2711[[#This Row],[Max]]</f>
        <v>0</v>
      </c>
      <c r="U26">
        <f>Table2711[[#This Row],[Min]]</f>
        <v>0</v>
      </c>
      <c r="X26" t="e">
        <f>Table1610[[#This Row],[Column1]]</f>
        <v>#N/A</v>
      </c>
      <c r="Y26">
        <v>24</v>
      </c>
      <c r="Z26" t="e">
        <f t="shared" si="2"/>
        <v>#N/A</v>
      </c>
      <c r="AA26" t="e">
        <f t="shared" si="3"/>
        <v>#N/A</v>
      </c>
      <c r="AB26" t="e">
        <f t="shared" si="4"/>
        <v>#N/A</v>
      </c>
      <c r="AC26" t="e">
        <f t="shared" si="5"/>
        <v>#N/A</v>
      </c>
      <c r="AD26" t="e">
        <f>VLOOKUP(Table1610[[#This Row],['#]],Table2711[['#]:[Drop]],16,0)</f>
        <v>#N/A</v>
      </c>
      <c r="AE26">
        <f>COUNTIF($AD$3:AD26,"X")</f>
        <v>0</v>
      </c>
      <c r="AF26" t="e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#N/A</v>
      </c>
      <c r="AG26" t="e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#N/A</v>
      </c>
    </row>
    <row r="27" spans="1:41" x14ac:dyDescent="0.3">
      <c r="A27">
        <v>25</v>
      </c>
      <c r="B27" t="e">
        <f>VLOOKUP('Round 3'!$A27,INDEX(Entry!$E$2:$U$23,1,'Round 3'!$A$1*2-1):'Entry'!$U$33,18-$A$1*2,0)</f>
        <v>#N/A</v>
      </c>
      <c r="C27" t="e">
        <f>VLOOKUP('Round 3'!$A27,INDEX(Entry!$E$2:$U$23,1,'Round 3'!$A$1*2-1):'Entry'!$U$33,19-$A$1*2,0)</f>
        <v>#N/A</v>
      </c>
      <c r="H27">
        <f t="shared" si="6"/>
        <v>0</v>
      </c>
      <c r="L27">
        <f t="shared" si="0"/>
        <v>0</v>
      </c>
      <c r="M27">
        <f t="shared" si="1"/>
        <v>0</v>
      </c>
      <c r="N27">
        <f t="shared" si="12"/>
        <v>0</v>
      </c>
      <c r="O27">
        <f t="shared" si="7"/>
        <v>0</v>
      </c>
      <c r="P27">
        <f t="shared" si="8"/>
        <v>21</v>
      </c>
      <c r="R27" t="e">
        <f t="shared" si="9"/>
        <v>#N/A</v>
      </c>
      <c r="S27" t="e">
        <f t="shared" si="9"/>
        <v>#N/A</v>
      </c>
      <c r="T27">
        <f>Table2711[[#This Row],[Max]]</f>
        <v>0</v>
      </c>
      <c r="U27">
        <f>Table2711[[#This Row],[Min]]</f>
        <v>0</v>
      </c>
      <c r="X27" t="e">
        <f>Table1610[[#This Row],[Column1]]</f>
        <v>#N/A</v>
      </c>
      <c r="Y27">
        <v>25</v>
      </c>
      <c r="Z27" t="e">
        <f t="shared" si="2"/>
        <v>#N/A</v>
      </c>
      <c r="AA27" t="e">
        <f t="shared" si="3"/>
        <v>#N/A</v>
      </c>
      <c r="AB27" t="e">
        <f t="shared" si="4"/>
        <v>#N/A</v>
      </c>
      <c r="AC27" t="e">
        <f t="shared" si="5"/>
        <v>#N/A</v>
      </c>
      <c r="AD27" t="e">
        <f>VLOOKUP(Table1610[[#This Row],['#]],Table2711[['#]:[Drop]],16,0)</f>
        <v>#N/A</v>
      </c>
      <c r="AE27">
        <f>COUNTIF($AD$3:AD27,"X")</f>
        <v>0</v>
      </c>
      <c r="AF27" t="e">
        <f>IF(Table1610[[#This Row],[Drop Hide]]="X",16+Table1610[[#This Row],[Count drop hide]],IF(Table1610[[#This Row],[Rank]]-Table1610[[#This Row],[Count drop hide]]&gt;16,Table1610[[#This Row],[Rank]],Table1610[[#This Row],[Rank]]-Table1610[[#This Row],[Count drop hide]]))</f>
        <v>#N/A</v>
      </c>
      <c r="AG27" t="e">
        <f>IF(Table1610[[#This Row],[Drop Hide]]="X",10,IF(AND(Table1610[[#This Row],[Highest Score]]&gt;0,Table1610[[#This Row],[Lower Score]]&gt;0),5,IF(AND(Table1610[[#This Row],[Highest Score]]&gt;0,Table1610[[#This Row],[Lower Score]]=0),2,IF(AND(Table1610[[#This Row],[Highest Score]]=0,Table1610[[#This Row],[Lower Score]]=0,VLOOKUP(Table1610[[#This Row],['#]],Table2711[['#]:[Scrut]],3,0)="X"),1,0))))</f>
        <v>#N/A</v>
      </c>
    </row>
  </sheetData>
  <sheetProtection sheet="1" objects="1" scenarios="1"/>
  <mergeCells count="3">
    <mergeCell ref="Y1:AC1"/>
    <mergeCell ref="AI1:AK1"/>
    <mergeCell ref="AM1:AO1"/>
  </mergeCells>
  <dataValidations count="1">
    <dataValidation type="decimal" allowBlank="1" showInputMessage="1" showErrorMessage="1" sqref="E3:G27 I3:K27" xr:uid="{8108075F-9571-4346-92C8-C6CA02A7890F}">
      <formula1>0</formula1>
      <formula2>100</formula2>
    </dataValidation>
  </dataValidations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Entry</vt:lpstr>
      <vt:lpstr>Championship</vt:lpstr>
      <vt:lpstr>Round 1</vt:lpstr>
      <vt:lpstr>Round 1 Finals</vt:lpstr>
      <vt:lpstr>Round 1 Print</vt:lpstr>
      <vt:lpstr>Round 2</vt:lpstr>
      <vt:lpstr>Round 2 Finals</vt:lpstr>
      <vt:lpstr>Round 2 Print</vt:lpstr>
      <vt:lpstr>Round 3</vt:lpstr>
      <vt:lpstr>Round 3 Finals</vt:lpstr>
      <vt:lpstr>Round 3 Print</vt:lpstr>
      <vt:lpstr>Round 4</vt:lpstr>
      <vt:lpstr>Round 4 Finals</vt:lpstr>
      <vt:lpstr>Round 4 Print</vt:lpstr>
      <vt:lpstr>Round 5</vt:lpstr>
      <vt:lpstr>Round 5 Finals</vt:lpstr>
      <vt:lpstr>Round 5 Print</vt:lpstr>
      <vt:lpstr>Round 6</vt:lpstr>
      <vt:lpstr>Round 6 Finals</vt:lpstr>
      <vt:lpstr>Round 6 Print</vt:lpstr>
      <vt:lpstr>Round 7</vt:lpstr>
      <vt:lpstr>Round 7 Finals</vt:lpstr>
      <vt:lpstr>Round 7 Print</vt:lpstr>
      <vt:lpstr>Round 8</vt:lpstr>
      <vt:lpstr>Round 8 Finals</vt:lpstr>
      <vt:lpstr>Round 8 Print</vt:lpstr>
      <vt:lpstr>RD1pts</vt:lpstr>
      <vt:lpstr>RD2pts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Masaya</dc:creator>
  <cp:lastModifiedBy>Kirsty Baulch</cp:lastModifiedBy>
  <cp:lastPrinted>2023-06-11T15:55:36Z</cp:lastPrinted>
  <dcterms:created xsi:type="dcterms:W3CDTF">2023-04-28T08:34:00Z</dcterms:created>
  <dcterms:modified xsi:type="dcterms:W3CDTF">2023-06-11T15:56:33Z</dcterms:modified>
</cp:coreProperties>
</file>